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Игорь\Documents\ЛД\Верховье\САЙТ\СМЕТЫ\"/>
    </mc:Choice>
  </mc:AlternateContent>
  <xr:revisionPtr revIDLastSave="0" documentId="8_{480EA614-93CF-4A50-BF57-1FCE0E47F00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9" i="1" l="1"/>
  <c r="N54" i="1"/>
  <c r="M43" i="1"/>
  <c r="N26" i="1"/>
  <c r="N20" i="1"/>
  <c r="N16" i="1"/>
  <c r="N3" i="1"/>
  <c r="M59" i="1"/>
  <c r="M54" i="1"/>
  <c r="M49" i="1"/>
  <c r="M36" i="1"/>
  <c r="M33" i="1"/>
  <c r="M26" i="1"/>
  <c r="M20" i="1"/>
  <c r="M16" i="1"/>
  <c r="M28" i="1"/>
  <c r="M18" i="1"/>
  <c r="M3" i="1"/>
  <c r="M44" i="1" l="1"/>
  <c r="N44" i="1"/>
  <c r="S42" i="1"/>
  <c r="T42" i="1" s="1"/>
  <c r="S15" i="1"/>
  <c r="T15" i="1" s="1"/>
  <c r="R36" i="1"/>
  <c r="R33" i="1"/>
  <c r="R26" i="1"/>
  <c r="R20" i="1"/>
  <c r="R16" i="1"/>
  <c r="R3" i="1"/>
  <c r="R44" i="1" s="1"/>
  <c r="Q42" i="1"/>
  <c r="P36" i="1"/>
  <c r="P33" i="1"/>
  <c r="P26" i="1"/>
  <c r="P20" i="1"/>
  <c r="P16" i="1"/>
  <c r="Q15" i="1"/>
  <c r="P3" i="1"/>
  <c r="P44" i="1" s="1"/>
  <c r="O58" i="1" l="1"/>
  <c r="O57" i="1"/>
  <c r="O59" i="1" s="1"/>
  <c r="L59" i="1"/>
  <c r="O37" i="1"/>
  <c r="O38" i="1"/>
  <c r="O39" i="1"/>
  <c r="O40" i="1"/>
  <c r="O41" i="1"/>
  <c r="O43" i="1"/>
  <c r="O34" i="1"/>
  <c r="O35" i="1"/>
  <c r="O21" i="1"/>
  <c r="O22" i="1"/>
  <c r="O23" i="1"/>
  <c r="O24" i="1"/>
  <c r="O17" i="1"/>
  <c r="O19" i="1"/>
  <c r="O4" i="1"/>
  <c r="O5" i="1"/>
  <c r="O7" i="1"/>
  <c r="O9" i="1"/>
  <c r="O10" i="1"/>
  <c r="O14" i="1"/>
  <c r="Q39" i="1" l="1"/>
  <c r="S39" i="1"/>
  <c r="T39" i="1" s="1"/>
  <c r="Q14" i="1"/>
  <c r="S14" i="1"/>
  <c r="T14" i="1" s="1"/>
  <c r="Q38" i="1"/>
  <c r="S38" i="1"/>
  <c r="T38" i="1" s="1"/>
  <c r="Q19" i="1"/>
  <c r="S19" i="1"/>
  <c r="T19" i="1" s="1"/>
  <c r="Q41" i="1"/>
  <c r="S41" i="1"/>
  <c r="T41" i="1" s="1"/>
  <c r="S37" i="1"/>
  <c r="T37" i="1" s="1"/>
  <c r="Q37" i="1"/>
  <c r="S43" i="1"/>
  <c r="T43" i="1" s="1"/>
  <c r="Q43" i="1"/>
  <c r="Q24" i="1"/>
  <c r="S24" i="1"/>
  <c r="T24" i="1" s="1"/>
  <c r="S23" i="1"/>
  <c r="T23" i="1" s="1"/>
  <c r="Q23" i="1"/>
  <c r="S22" i="1"/>
  <c r="T22" i="1" s="1"/>
  <c r="Q22" i="1"/>
  <c r="S21" i="1"/>
  <c r="T21" i="1" s="1"/>
  <c r="Q21" i="1"/>
  <c r="S10" i="1"/>
  <c r="T10" i="1" s="1"/>
  <c r="Q10" i="1"/>
  <c r="S7" i="1"/>
  <c r="T7" i="1" s="1"/>
  <c r="Q7" i="1"/>
  <c r="Q40" i="1"/>
  <c r="S40" i="1"/>
  <c r="T40" i="1" s="1"/>
  <c r="Q35" i="1"/>
  <c r="S35" i="1"/>
  <c r="T35" i="1" s="1"/>
  <c r="Q34" i="1"/>
  <c r="Q33" i="1" s="1"/>
  <c r="S34" i="1"/>
  <c r="T34" i="1" s="1"/>
  <c r="Q17" i="1"/>
  <c r="S17" i="1"/>
  <c r="T17" i="1" s="1"/>
  <c r="S9" i="1"/>
  <c r="T9" i="1" s="1"/>
  <c r="Q9" i="1"/>
  <c r="Q5" i="1"/>
  <c r="S5" i="1"/>
  <c r="T5" i="1" s="1"/>
  <c r="Q4" i="1"/>
  <c r="S4" i="1"/>
  <c r="T4" i="1" s="1"/>
  <c r="J32" i="1"/>
  <c r="J26" i="1" s="1"/>
  <c r="L36" i="1"/>
  <c r="L20" i="1"/>
  <c r="L54" i="1" s="1"/>
  <c r="L49" i="1"/>
  <c r="L33" i="1"/>
  <c r="L30" i="1"/>
  <c r="L26" i="1" s="1"/>
  <c r="L18" i="1"/>
  <c r="L3" i="1"/>
  <c r="K59" i="1"/>
  <c r="K49" i="1"/>
  <c r="K33" i="1"/>
  <c r="K36" i="1"/>
  <c r="K26" i="1"/>
  <c r="K13" i="1"/>
  <c r="O13" i="1" s="1"/>
  <c r="K20" i="1"/>
  <c r="K54" i="1" s="1"/>
  <c r="K16" i="1"/>
  <c r="K3" i="1"/>
  <c r="K11" i="1"/>
  <c r="O11" i="1" s="1"/>
  <c r="Q11" i="1" s="1"/>
  <c r="J36" i="1"/>
  <c r="J33" i="1"/>
  <c r="J20" i="1"/>
  <c r="J54" i="1" s="1"/>
  <c r="J16" i="1"/>
  <c r="J3" i="1"/>
  <c r="C26" i="1"/>
  <c r="I36" i="1"/>
  <c r="I33" i="1"/>
  <c r="I26" i="1"/>
  <c r="I20" i="1"/>
  <c r="I54" i="1" s="1"/>
  <c r="I16" i="1"/>
  <c r="I44" i="1" s="1"/>
  <c r="I3" i="1"/>
  <c r="E30" i="1"/>
  <c r="O30" i="1" l="1"/>
  <c r="L16" i="1"/>
  <c r="O18" i="1"/>
  <c r="S11" i="1"/>
  <c r="T11" i="1" s="1"/>
  <c r="Q13" i="1"/>
  <c r="S13" i="1"/>
  <c r="T13" i="1" s="1"/>
  <c r="Q36" i="1"/>
  <c r="Q20" i="1"/>
  <c r="J44" i="1"/>
  <c r="L44" i="1"/>
  <c r="K44" i="1"/>
  <c r="I49" i="1"/>
  <c r="D16" i="1"/>
  <c r="S18" i="1" l="1"/>
  <c r="T18" i="1" s="1"/>
  <c r="Q18" i="1"/>
  <c r="Q16" i="1" s="1"/>
  <c r="Q30" i="1"/>
  <c r="S30" i="1"/>
  <c r="T30" i="1" s="1"/>
  <c r="F12" i="1"/>
  <c r="O12" i="1" s="1"/>
  <c r="S12" i="1" l="1"/>
  <c r="T12" i="1" s="1"/>
  <c r="Q12" i="1"/>
  <c r="C8" i="1"/>
  <c r="C3" i="1" l="1"/>
  <c r="G49" i="1"/>
  <c r="F49" i="1"/>
  <c r="O49" i="1" s="1"/>
  <c r="H33" i="1"/>
  <c r="G33" i="1"/>
  <c r="F33" i="1"/>
  <c r="E33" i="1"/>
  <c r="D33" i="1"/>
  <c r="C33" i="1"/>
  <c r="O33" i="1" l="1"/>
  <c r="S33" i="1" s="1"/>
  <c r="T33" i="1" s="1"/>
  <c r="G32" i="1"/>
  <c r="F32" i="1"/>
  <c r="H27" i="1"/>
  <c r="G27" i="1"/>
  <c r="F27" i="1"/>
  <c r="E27" i="1"/>
  <c r="O27" i="1" s="1"/>
  <c r="H6" i="1"/>
  <c r="H3" i="1" s="1"/>
  <c r="G6" i="1"/>
  <c r="F6" i="1"/>
  <c r="F3" i="1" s="1"/>
  <c r="D6" i="1"/>
  <c r="O6" i="1" s="1"/>
  <c r="H16" i="1"/>
  <c r="G16" i="1"/>
  <c r="F16" i="1"/>
  <c r="E16" i="1"/>
  <c r="C16" i="1"/>
  <c r="O16" i="1" l="1"/>
  <c r="S16" i="1" s="1"/>
  <c r="T16" i="1" s="1"/>
  <c r="Q6" i="1"/>
  <c r="S6" i="1"/>
  <c r="T6" i="1" s="1"/>
  <c r="Q27" i="1"/>
  <c r="S27" i="1"/>
  <c r="T27" i="1" s="1"/>
  <c r="O32" i="1"/>
  <c r="G29" i="1"/>
  <c r="O29" i="1" s="1"/>
  <c r="G28" i="1"/>
  <c r="F28" i="1"/>
  <c r="F26" i="1" s="1"/>
  <c r="S32" i="1" l="1"/>
  <c r="T32" i="1" s="1"/>
  <c r="Q32" i="1"/>
  <c r="Q29" i="1"/>
  <c r="S29" i="1"/>
  <c r="T29" i="1" s="1"/>
  <c r="G26" i="1"/>
  <c r="H59" i="1"/>
  <c r="G59" i="1"/>
  <c r="F59" i="1"/>
  <c r="D28" i="1" l="1"/>
  <c r="O28" i="1" s="1"/>
  <c r="E8" i="1"/>
  <c r="E3" i="1" s="1"/>
  <c r="E31" i="1"/>
  <c r="E26" i="1" s="1"/>
  <c r="E25" i="1"/>
  <c r="D8" i="1"/>
  <c r="D31" i="1"/>
  <c r="D25" i="1"/>
  <c r="E59" i="1"/>
  <c r="D59" i="1"/>
  <c r="C59" i="1"/>
  <c r="O31" i="1" l="1"/>
  <c r="D3" i="1"/>
  <c r="O3" i="1" s="1"/>
  <c r="S3" i="1" s="1"/>
  <c r="T3" i="1" s="1"/>
  <c r="O8" i="1"/>
  <c r="Q28" i="1"/>
  <c r="S28" i="1"/>
  <c r="T28" i="1" s="1"/>
  <c r="D26" i="1"/>
  <c r="O26" i="1" s="1"/>
  <c r="S26" i="1" s="1"/>
  <c r="T26" i="1" s="1"/>
  <c r="C25" i="1"/>
  <c r="O25" i="1" s="1"/>
  <c r="S8" i="1" l="1"/>
  <c r="T8" i="1" s="1"/>
  <c r="Q8" i="1"/>
  <c r="Q3" i="1" s="1"/>
  <c r="Q25" i="1"/>
  <c r="S25" i="1"/>
  <c r="T25" i="1" s="1"/>
  <c r="S31" i="1"/>
  <c r="T31" i="1" s="1"/>
  <c r="Q31" i="1"/>
  <c r="Q26" i="1" s="1"/>
  <c r="H36" i="1"/>
  <c r="G36" i="1"/>
  <c r="F36" i="1"/>
  <c r="E36" i="1"/>
  <c r="D36" i="1"/>
  <c r="H20" i="1"/>
  <c r="H54" i="1" s="1"/>
  <c r="G20" i="1"/>
  <c r="G54" i="1" s="1"/>
  <c r="F20" i="1"/>
  <c r="F54" i="1" s="1"/>
  <c r="E20" i="1"/>
  <c r="E54" i="1" s="1"/>
  <c r="D20" i="1"/>
  <c r="D54" i="1" s="1"/>
  <c r="C36" i="1"/>
  <c r="C20" i="1"/>
  <c r="C54" i="1" l="1"/>
  <c r="O20" i="1"/>
  <c r="S20" i="1" s="1"/>
  <c r="T20" i="1" s="1"/>
  <c r="Q44" i="1"/>
  <c r="O36" i="1"/>
  <c r="S36" i="1" s="1"/>
  <c r="T36" i="1" s="1"/>
  <c r="H44" i="1"/>
  <c r="F44" i="1"/>
  <c r="C44" i="1"/>
  <c r="G44" i="1"/>
  <c r="D44" i="1"/>
  <c r="E44" i="1"/>
  <c r="O44" i="1" l="1"/>
  <c r="S44" i="1" s="1"/>
  <c r="T44" i="1" s="1"/>
</calcChain>
</file>

<file path=xl/sharedStrings.xml><?xml version="1.0" encoding="utf-8"?>
<sst xmlns="http://schemas.openxmlformats.org/spreadsheetml/2006/main" count="67" uniqueCount="67">
  <si>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</si>
  <si>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</si>
  <si>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</si>
  <si>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</si>
  <si>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</si>
  <si>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</si>
  <si>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</si>
  <si>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</si>
  <si>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</si>
  <si>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</si>
  <si>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</si>
  <si>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</si>
  <si>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Расходы по управлению</t>
  </si>
  <si>
    <t>Бухгалтерское обслуживание</t>
  </si>
  <si>
    <t>РКО</t>
  </si>
  <si>
    <t>Расходы по содержанию имущества ОП</t>
  </si>
  <si>
    <t>Расходные материалы по эксплуатации и внеплановому ремонту ТП, уличного освещения</t>
  </si>
  <si>
    <t>Оплата электрической энергии</t>
  </si>
  <si>
    <t>Расходы по вывозу ТБО</t>
  </si>
  <si>
    <t>Расходы по благоустройству</t>
  </si>
  <si>
    <t>Расходы по УАЗ</t>
  </si>
  <si>
    <t>Расходы на мелкую технику</t>
  </si>
  <si>
    <t>Материалы и инструменты для благоустройства</t>
  </si>
  <si>
    <t>Чистка снега</t>
  </si>
  <si>
    <t>Расходы по охране</t>
  </si>
  <si>
    <t xml:space="preserve">Сторожевая охрана </t>
  </si>
  <si>
    <t>Расходы по налогам</t>
  </si>
  <si>
    <t>УСНО</t>
  </si>
  <si>
    <t>Налоги от ФОТ</t>
  </si>
  <si>
    <t>Транспортный налог</t>
  </si>
  <si>
    <t>План</t>
  </si>
  <si>
    <t>Факт</t>
  </si>
  <si>
    <t>Земельный налог</t>
  </si>
  <si>
    <t>Расходы,связанные с оплатой эл/энерги</t>
  </si>
  <si>
    <t>Расходы на уличное освещение</t>
  </si>
  <si>
    <t>Расходы на адм.помещения</t>
  </si>
  <si>
    <t>Расходы на въездные группы</t>
  </si>
  <si>
    <t>Непредвиденные потери передачи эл/эн</t>
  </si>
  <si>
    <t>Расходы вне сметы</t>
  </si>
  <si>
    <t>Итого расходов по смете</t>
  </si>
  <si>
    <t>Потери по электроэнергии</t>
  </si>
  <si>
    <t>Услуги по делопроизводству</t>
  </si>
  <si>
    <t>Почтовые и канцелярские расходы, хоз.товары</t>
  </si>
  <si>
    <t>Расходы на обслуживание сайта</t>
  </si>
  <si>
    <t>Обслуживание АХК</t>
  </si>
  <si>
    <t>Бухгалтерское программное обеспечение</t>
  </si>
  <si>
    <t>Юридические услуги</t>
  </si>
  <si>
    <t>Судебные расходы</t>
  </si>
  <si>
    <t>Фонд оплаты труда председателя</t>
  </si>
  <si>
    <t>Расходы ГСМ</t>
  </si>
  <si>
    <t>Обслуживание электросетевого хозяйства</t>
  </si>
  <si>
    <t>Ремонт и обслуживание шлагбаумов</t>
  </si>
  <si>
    <t>Обслуживание видеокамер(Тенета Телеком)</t>
  </si>
  <si>
    <t>Расходы по благоустройству территории</t>
  </si>
  <si>
    <t>Подсыпка дорог</t>
  </si>
  <si>
    <t>Расходы на мобильную связь</t>
  </si>
  <si>
    <t>9.1</t>
  </si>
  <si>
    <t>9.2</t>
  </si>
  <si>
    <t>Приход денежных средств ЧВ</t>
  </si>
  <si>
    <t>Приход ДС за электроэнергию</t>
  </si>
  <si>
    <t>2021 ГОД                  план</t>
  </si>
  <si>
    <t>2021 ГОД                  факт</t>
  </si>
  <si>
    <t xml:space="preserve">отклонение      </t>
  </si>
  <si>
    <t>факт</t>
  </si>
  <si>
    <t>план</t>
  </si>
  <si>
    <t>ОТЧЕТ об исполнении приходно-расходной сметы СНТ "Верховье" за период с 1.01.2021 г. по 31.12.2021 г.</t>
  </si>
  <si>
    <t>2021 ГОД                  отклонение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</si>
</sst>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  <font>
      <sz val="8"/>
      <name val="Arial"/>
      <family val="2"/>
    </font>
    <font>
      <sz val="1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29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4" fontId="4" fillId="0" borderId="3" xfId="0" applyNumberFormat="1" applyFont="1" applyFill="1" applyBorder="1" applyAlignment="1">
      <alignment horizontal="left"/>
    </xf>
    <xf numFmtId="4" fontId="4" fillId="0" borderId="1" xfId="0" applyNumberFormat="1" applyFont="1" applyBorder="1" applyAlignment="1">
      <alignment horizontal="left" wrapText="1"/>
    </xf>
    <xf numFmtId="4" fontId="4" fillId="0" borderId="1" xfId="0" applyNumberFormat="1" applyFont="1" applyBorder="1" applyAlignment="1">
      <alignment horizontal="left"/>
    </xf>
    <xf numFmtId="4" fontId="4" fillId="0" borderId="1" xfId="0" applyNumberFormat="1" applyFont="1" applyFill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2" fontId="4" fillId="0" borderId="1" xfId="0" applyNumberFormat="1" applyFont="1" applyBorder="1" applyAlignment="1">
      <alignment horizontal="left"/>
    </xf>
    <xf numFmtId="4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2" fontId="4" fillId="2" borderId="1" xfId="0" applyNumberFormat="1" applyFont="1" applyFill="1" applyBorder="1" applyAlignment="1">
      <alignment horizontal="left"/>
    </xf>
    <xf numFmtId="4" fontId="4" fillId="2" borderId="3" xfId="0" applyNumberFormat="1" applyFont="1" applyFill="1" applyBorder="1" applyAlignment="1">
      <alignment horizontal="left"/>
    </xf>
    <xf numFmtId="4" fontId="4" fillId="2" borderId="1" xfId="0" applyNumberFormat="1" applyFont="1" applyFill="1" applyBorder="1" applyAlignment="1">
      <alignment horizontal="left" wrapText="1"/>
    </xf>
    <xf numFmtId="4" fontId="6" fillId="0" borderId="1" xfId="0" applyNumberFormat="1" applyFont="1" applyFill="1" applyBorder="1" applyAlignment="1">
      <alignment horizontal="left"/>
    </xf>
    <xf numFmtId="4" fontId="5" fillId="0" borderId="1" xfId="0" applyNumberFormat="1" applyFont="1" applyBorder="1" applyAlignment="1">
      <alignment horizontal="left"/>
    </xf>
    <xf numFmtId="0" fontId="5" fillId="0" borderId="1" xfId="0" applyFont="1" applyBorder="1"/>
    <xf numFmtId="4" fontId="5" fillId="0" borderId="3" xfId="0" applyNumberFormat="1" applyFont="1" applyFill="1" applyBorder="1" applyAlignment="1">
      <alignment horizontal="left"/>
    </xf>
    <xf numFmtId="4" fontId="5" fillId="2" borderId="1" xfId="0" applyNumberFormat="1" applyFont="1" applyFill="1" applyBorder="1" applyAlignment="1">
      <alignment horizontal="left"/>
    </xf>
    <xf numFmtId="4" fontId="4" fillId="5" borderId="1" xfId="0" applyNumberFormat="1" applyFont="1" applyFill="1" applyBorder="1" applyAlignment="1">
      <alignment horizontal="left"/>
    </xf>
    <xf numFmtId="4" fontId="5" fillId="5" borderId="1" xfId="0" applyNumberFormat="1" applyFont="1" applyFill="1" applyBorder="1" applyAlignment="1">
      <alignment horizontal="left"/>
    </xf>
    <xf numFmtId="0" fontId="5" fillId="5" borderId="2" xfId="0" applyFont="1" applyFill="1" applyBorder="1" applyAlignment="1">
      <alignment wrapText="1"/>
    </xf>
    <xf numFmtId="0" fontId="5" fillId="0" borderId="2" xfId="0" applyFont="1" applyBorder="1" applyAlignment="1">
      <alignment wrapText="1"/>
    </xf>
    <xf numFmtId="0" fontId="3" fillId="2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left" vertical="center" wrapText="1"/>
    </xf>
    <xf numFmtId="4" fontId="5" fillId="5" borderId="1" xfId="0" applyNumberFormat="1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4" fontId="5" fillId="5" borderId="3" xfId="0" applyNumberFormat="1" applyFont="1" applyFill="1" applyBorder="1" applyAlignment="1">
      <alignment horizontal="left"/>
    </xf>
    <xf numFmtId="4" fontId="4" fillId="2" borderId="0" xfId="0" applyNumberFormat="1" applyFont="1" applyFill="1" applyBorder="1" applyAlignment="1">
      <alignment horizontal="left"/>
    </xf>
    <xf numFmtId="0" fontId="1" fillId="5" borderId="2" xfId="0" applyFont="1" applyFill="1" applyBorder="1" applyAlignment="1">
      <alignment horizontal="left" vertical="center" wrapText="1"/>
    </xf>
    <xf numFmtId="4" fontId="5" fillId="2" borderId="3" xfId="0" applyNumberFormat="1" applyFont="1" applyFill="1" applyBorder="1" applyAlignment="1">
      <alignment horizontal="left"/>
    </xf>
    <xf numFmtId="0" fontId="0" fillId="2" borderId="0" xfId="0" applyFill="1"/>
    <xf numFmtId="0" fontId="1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left" wrapText="1"/>
    </xf>
    <xf numFmtId="4" fontId="4" fillId="2" borderId="5" xfId="0" applyNumberFormat="1" applyFont="1" applyFill="1" applyBorder="1" applyAlignment="1">
      <alignment horizontal="left" wrapText="1"/>
    </xf>
    <xf numFmtId="4" fontId="4" fillId="2" borderId="5" xfId="0" applyNumberFormat="1" applyFont="1" applyFill="1" applyBorder="1" applyAlignment="1">
      <alignment horizontal="left"/>
    </xf>
    <xf numFmtId="4" fontId="4" fillId="2" borderId="6" xfId="0" applyNumberFormat="1" applyFont="1" applyFill="1" applyBorder="1" applyAlignment="1">
      <alignment horizontal="left"/>
    </xf>
    <xf numFmtId="0" fontId="0" fillId="0" borderId="0" xfId="0" applyBorder="1"/>
    <xf numFmtId="0" fontId="1" fillId="0" borderId="2" xfId="0" applyFont="1" applyBorder="1" applyAlignment="1">
      <alignment horizontal="center" vertical="center"/>
    </xf>
    <xf numFmtId="4" fontId="5" fillId="5" borderId="2" xfId="0" applyNumberFormat="1" applyFont="1" applyFill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left"/>
    </xf>
    <xf numFmtId="2" fontId="4" fillId="0" borderId="3" xfId="0" applyNumberFormat="1" applyFont="1" applyBorder="1" applyAlignment="1">
      <alignment horizontal="left"/>
    </xf>
    <xf numFmtId="2" fontId="4" fillId="2" borderId="3" xfId="0" applyNumberFormat="1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4" fontId="5" fillId="0" borderId="3" xfId="0" applyNumberFormat="1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4" fontId="4" fillId="0" borderId="1" xfId="0" applyNumberFormat="1" applyFont="1" applyBorder="1"/>
    <xf numFmtId="4" fontId="4" fillId="0" borderId="3" xfId="0" applyNumberFormat="1" applyFont="1" applyBorder="1"/>
    <xf numFmtId="4" fontId="4" fillId="3" borderId="1" xfId="0" applyNumberFormat="1" applyFont="1" applyFill="1" applyBorder="1"/>
    <xf numFmtId="4" fontId="4" fillId="3" borderId="1" xfId="0" applyNumberFormat="1" applyFont="1" applyFill="1" applyBorder="1" applyAlignment="1">
      <alignment horizontal="left"/>
    </xf>
    <xf numFmtId="4" fontId="0" fillId="0" borderId="3" xfId="0" applyNumberFormat="1" applyBorder="1"/>
    <xf numFmtId="4" fontId="0" fillId="0" borderId="1" xfId="0" applyNumberFormat="1" applyFont="1" applyFill="1" applyBorder="1"/>
    <xf numFmtId="4" fontId="0" fillId="0" borderId="1" xfId="0" applyNumberFormat="1" applyFont="1" applyBorder="1"/>
    <xf numFmtId="4" fontId="5" fillId="4" borderId="1" xfId="0" applyNumberFormat="1" applyFont="1" applyFill="1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49" fontId="0" fillId="0" borderId="2" xfId="0" applyNumberFormat="1" applyBorder="1" applyAlignment="1">
      <alignment horizontal="center"/>
    </xf>
    <xf numFmtId="0" fontId="0" fillId="2" borderId="9" xfId="0" applyFill="1" applyBorder="1"/>
    <xf numFmtId="4" fontId="5" fillId="3" borderId="3" xfId="0" applyNumberFormat="1" applyFont="1" applyFill="1" applyBorder="1"/>
    <xf numFmtId="4" fontId="5" fillId="3" borderId="1" xfId="0" applyNumberFormat="1" applyFont="1" applyFill="1" applyBorder="1"/>
    <xf numFmtId="0" fontId="0" fillId="2" borderId="0" xfId="0" applyFill="1" applyBorder="1"/>
    <xf numFmtId="49" fontId="0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4" xfId="0" applyFont="1" applyBorder="1" applyAlignment="1">
      <alignment horizontal="left" vertical="center" wrapText="1"/>
    </xf>
    <xf numFmtId="4" fontId="0" fillId="0" borderId="0" xfId="0" applyNumberFormat="1" applyBorder="1"/>
    <xf numFmtId="0" fontId="1" fillId="5" borderId="4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left" vertical="center" wrapText="1"/>
    </xf>
    <xf numFmtId="4" fontId="4" fillId="5" borderId="5" xfId="0" applyNumberFormat="1" applyFont="1" applyFill="1" applyBorder="1" applyAlignment="1">
      <alignment horizontal="left" wrapText="1"/>
    </xf>
    <xf numFmtId="4" fontId="4" fillId="5" borderId="5" xfId="0" applyNumberFormat="1" applyFont="1" applyFill="1" applyBorder="1" applyAlignment="1">
      <alignment horizontal="left"/>
    </xf>
    <xf numFmtId="4" fontId="4" fillId="5" borderId="6" xfId="0" applyNumberFormat="1" applyFont="1" applyFill="1" applyBorder="1" applyAlignment="1">
      <alignment horizontal="left"/>
    </xf>
    <xf numFmtId="0" fontId="4" fillId="5" borderId="4" xfId="0" applyFont="1" applyFill="1" applyBorder="1" applyAlignment="1">
      <alignment horizontal="left" vertical="center" wrapText="1"/>
    </xf>
    <xf numFmtId="4" fontId="4" fillId="5" borderId="1" xfId="0" applyNumberFormat="1" applyFont="1" applyFill="1" applyBorder="1" applyAlignment="1">
      <alignment horizontal="left" wrapText="1"/>
    </xf>
    <xf numFmtId="0" fontId="1" fillId="7" borderId="7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 wrapText="1"/>
    </xf>
    <xf numFmtId="4" fontId="5" fillId="7" borderId="8" xfId="0" applyNumberFormat="1" applyFont="1" applyFill="1" applyBorder="1" applyAlignment="1">
      <alignment horizontal="left" wrapText="1"/>
    </xf>
    <xf numFmtId="4" fontId="4" fillId="7" borderId="8" xfId="0" applyNumberFormat="1" applyFont="1" applyFill="1" applyBorder="1" applyAlignment="1">
      <alignment horizontal="left"/>
    </xf>
    <xf numFmtId="2" fontId="4" fillId="7" borderId="8" xfId="0" applyNumberFormat="1" applyFont="1" applyFill="1" applyBorder="1" applyAlignment="1">
      <alignment horizontal="left"/>
    </xf>
    <xf numFmtId="4" fontId="5" fillId="7" borderId="8" xfId="0" applyNumberFormat="1" applyFont="1" applyFill="1" applyBorder="1" applyAlignment="1">
      <alignment horizontal="left"/>
    </xf>
    <xf numFmtId="0" fontId="5" fillId="7" borderId="1" xfId="0" applyFont="1" applyFill="1" applyBorder="1"/>
    <xf numFmtId="4" fontId="5" fillId="7" borderId="1" xfId="0" applyNumberFormat="1" applyFont="1" applyFill="1" applyBorder="1" applyAlignment="1">
      <alignment horizontal="left" vertical="center"/>
    </xf>
    <xf numFmtId="4" fontId="5" fillId="7" borderId="5" xfId="0" applyNumberFormat="1" applyFont="1" applyFill="1" applyBorder="1" applyAlignment="1">
      <alignment horizontal="left" vertical="center"/>
    </xf>
    <xf numFmtId="0" fontId="0" fillId="7" borderId="1" xfId="0" applyFill="1" applyBorder="1"/>
    <xf numFmtId="4" fontId="4" fillId="7" borderId="1" xfId="0" applyNumberFormat="1" applyFont="1" applyFill="1" applyBorder="1"/>
    <xf numFmtId="0" fontId="4" fillId="7" borderId="1" xfId="0" applyFont="1" applyFill="1" applyBorder="1"/>
    <xf numFmtId="0" fontId="1" fillId="8" borderId="7" xfId="0" applyFont="1" applyFill="1" applyBorder="1" applyAlignment="1">
      <alignment horizontal="center" vertical="center" wrapText="1"/>
    </xf>
    <xf numFmtId="4" fontId="5" fillId="8" borderId="8" xfId="0" applyNumberFormat="1" applyFont="1" applyFill="1" applyBorder="1" applyAlignment="1">
      <alignment horizontal="left" wrapText="1"/>
    </xf>
    <xf numFmtId="4" fontId="4" fillId="8" borderId="8" xfId="0" applyNumberFormat="1" applyFont="1" applyFill="1" applyBorder="1" applyAlignment="1">
      <alignment horizontal="left"/>
    </xf>
    <xf numFmtId="2" fontId="4" fillId="8" borderId="8" xfId="0" applyNumberFormat="1" applyFont="1" applyFill="1" applyBorder="1" applyAlignment="1">
      <alignment horizontal="left"/>
    </xf>
    <xf numFmtId="4" fontId="5" fillId="8" borderId="8" xfId="0" applyNumberFormat="1" applyFont="1" applyFill="1" applyBorder="1" applyAlignment="1">
      <alignment horizontal="left"/>
    </xf>
    <xf numFmtId="0" fontId="5" fillId="8" borderId="1" xfId="0" applyFont="1" applyFill="1" applyBorder="1"/>
    <xf numFmtId="4" fontId="5" fillId="8" borderId="1" xfId="0" applyNumberFormat="1" applyFont="1" applyFill="1" applyBorder="1" applyAlignment="1">
      <alignment horizontal="left" vertical="center"/>
    </xf>
    <xf numFmtId="4" fontId="5" fillId="8" borderId="5" xfId="0" applyNumberFormat="1" applyFont="1" applyFill="1" applyBorder="1" applyAlignment="1">
      <alignment horizontal="left" vertical="center"/>
    </xf>
    <xf numFmtId="0" fontId="0" fillId="8" borderId="1" xfId="0" applyFill="1" applyBorder="1"/>
    <xf numFmtId="4" fontId="4" fillId="8" borderId="1" xfId="0" applyNumberFormat="1" applyFont="1" applyFill="1" applyBorder="1"/>
    <xf numFmtId="0" fontId="4" fillId="8" borderId="1" xfId="0" applyFont="1" applyFill="1" applyBorder="1"/>
    <xf numFmtId="4" fontId="0" fillId="0" borderId="0" xfId="0" applyNumberFormat="1"/>
    <xf numFmtId="4" fontId="4" fillId="7" borderId="8" xfId="0" applyNumberFormat="1" applyFont="1" applyFill="1" applyBorder="1" applyAlignment="1">
      <alignment horizontal="left" wrapText="1"/>
    </xf>
    <xf numFmtId="4" fontId="4" fillId="6" borderId="1" xfId="0" applyNumberFormat="1" applyFont="1" applyFill="1" applyBorder="1"/>
    <xf numFmtId="4" fontId="5" fillId="7" borderId="1" xfId="0" applyNumberFormat="1" applyFont="1" applyFill="1" applyBorder="1"/>
    <xf numFmtId="4" fontId="4" fillId="9" borderId="3" xfId="0" applyNumberFormat="1" applyFont="1" applyFill="1" applyBorder="1"/>
    <xf numFmtId="4" fontId="4" fillId="8" borderId="8" xfId="0" applyNumberFormat="1" applyFont="1" applyFill="1" applyBorder="1" applyAlignment="1">
      <alignment horizontal="left" wrapText="1"/>
    </xf>
    <xf numFmtId="4" fontId="4" fillId="2" borderId="1" xfId="0" applyNumberFormat="1" applyFont="1" applyFill="1" applyBorder="1"/>
    <xf numFmtId="4" fontId="4" fillId="2" borderId="2" xfId="0" applyNumberFormat="1" applyFont="1" applyFill="1" applyBorder="1"/>
    <xf numFmtId="0" fontId="4" fillId="2" borderId="1" xfId="0" applyFont="1" applyFill="1" applyBorder="1"/>
    <xf numFmtId="4" fontId="4" fillId="2" borderId="3" xfId="0" applyNumberFormat="1" applyFont="1" applyFill="1" applyBorder="1"/>
    <xf numFmtId="4" fontId="0" fillId="0" borderId="1" xfId="0" applyNumberFormat="1" applyBorder="1" applyAlignment="1">
      <alignment horizontal="right"/>
    </xf>
    <xf numFmtId="4" fontId="4" fillId="2" borderId="6" xfId="0" applyNumberFormat="1" applyFont="1" applyFill="1" applyBorder="1" applyAlignment="1">
      <alignment horizontal="right"/>
    </xf>
    <xf numFmtId="4" fontId="4" fillId="2" borderId="5" xfId="0" applyNumberFormat="1" applyFont="1" applyFill="1" applyBorder="1" applyAlignment="1">
      <alignment horizontal="right"/>
    </xf>
    <xf numFmtId="4" fontId="4" fillId="9" borderId="1" xfId="0" applyNumberFormat="1" applyFont="1" applyFill="1" applyBorder="1"/>
    <xf numFmtId="4" fontId="8" fillId="0" borderId="10" xfId="1" applyNumberFormat="1" applyFont="1" applyBorder="1" applyAlignment="1">
      <alignment horizontal="right" vertical="top" wrapText="1"/>
    </xf>
    <xf numFmtId="0" fontId="9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65"/>
  <sheetViews>
    <sheetView tabSelected="1" zoomScale="90" zoomScaleNormal="90" workbookViewId="0">
      <selection activeCell="B1" sqref="B1:M1"/>
    </sheetView>
  </sheetViews>
  <sheetFormatPr defaultRowHeight="14.5" x14ac:dyDescent="0.35"/>
  <cols>
    <col min="1" max="1" width="5.81640625" customWidth="1"/>
    <col min="2" max="2" width="36" customWidth="1"/>
    <col min="3" max="3" width="15" customWidth="1"/>
    <col min="4" max="4" width="15.26953125" customWidth="1"/>
    <col min="5" max="5" width="15.1796875" customWidth="1"/>
    <col min="6" max="6" width="14.1796875" customWidth="1"/>
    <col min="7" max="7" width="14.54296875" customWidth="1"/>
    <col min="8" max="8" width="15.26953125" customWidth="1"/>
    <col min="9" max="10" width="15" customWidth="1"/>
    <col min="11" max="11" width="15.26953125" customWidth="1"/>
    <col min="12" max="12" width="11.453125" customWidth="1"/>
    <col min="13" max="13" width="11.453125" bestFit="1" customWidth="1"/>
    <col min="14" max="14" width="12.7265625" bestFit="1" customWidth="1"/>
    <col min="15" max="15" width="14.26953125" customWidth="1"/>
    <col min="16" max="17" width="17.7265625" customWidth="1"/>
    <col min="18" max="19" width="17.81640625" customWidth="1"/>
    <col min="20" max="20" width="17.7265625" customWidth="1"/>
  </cols>
  <sheetData>
    <row r="1" spans="1:21" ht="34.5" customHeight="1" x14ac:dyDescent="0.35">
      <c r="B1" s="127" t="s">
        <v>65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</row>
    <row r="2" spans="1:21" ht="33" customHeight="1" x14ac:dyDescent="0.35">
      <c r="A2" s="1"/>
      <c r="B2" s="2"/>
      <c r="C2" s="3" t="s">
        <v>0</v>
      </c>
      <c r="D2" s="3" t="s">
        <v>1</v>
      </c>
      <c r="E2" s="3" t="s">
        <v>2</v>
      </c>
      <c r="F2" s="3" t="s">
        <v>3</v>
      </c>
      <c r="G2" s="3" t="s">
        <v>4</v>
      </c>
      <c r="H2" s="3" t="s">
        <v>5</v>
      </c>
      <c r="I2" s="52" t="s">
        <v>6</v>
      </c>
      <c r="J2" s="3" t="s">
        <v>7</v>
      </c>
      <c r="K2" s="50" t="s">
        <v>8</v>
      </c>
      <c r="L2" s="52" t="s">
        <v>9</v>
      </c>
      <c r="M2" s="4" t="s">
        <v>10</v>
      </c>
      <c r="N2" s="3" t="s">
        <v>11</v>
      </c>
      <c r="O2" s="89" t="s">
        <v>63</v>
      </c>
      <c r="P2" s="89" t="s">
        <v>64</v>
      </c>
      <c r="Q2" s="90" t="s">
        <v>62</v>
      </c>
      <c r="R2" s="101" t="s">
        <v>60</v>
      </c>
      <c r="S2" s="101" t="s">
        <v>61</v>
      </c>
      <c r="T2" s="101" t="s">
        <v>66</v>
      </c>
    </row>
    <row r="3" spans="1:21" ht="21" customHeight="1" x14ac:dyDescent="0.35">
      <c r="A3" s="31">
        <v>1</v>
      </c>
      <c r="B3" s="40" t="s">
        <v>12</v>
      </c>
      <c r="C3" s="33">
        <f>C4+C5+C7+C8+C15+C6+C9+C10</f>
        <v>120416.5</v>
      </c>
      <c r="D3" s="33">
        <f>D4+D5+D6+D7+D8+D9+D10+D11</f>
        <v>129763.4</v>
      </c>
      <c r="E3" s="33">
        <f>E4+E5+E7+E8+E15+E9+E6+E10+E11+E14</f>
        <v>121947.8</v>
      </c>
      <c r="F3" s="33">
        <f>F4+F5+F7+F8+F15+F9+F6+F10+F12</f>
        <v>140396.08000000002</v>
      </c>
      <c r="G3" s="33">
        <v>139378.28</v>
      </c>
      <c r="H3" s="33">
        <f>H4+H5+H7+H8+H15+H9+H6+H10+H13</f>
        <v>121550.3</v>
      </c>
      <c r="I3" s="38">
        <f>I4+I5+I6+I8+I9</f>
        <v>119456</v>
      </c>
      <c r="J3" s="27">
        <f>J4+J5+J6+J7+J8+J9+J10</f>
        <v>226665.8</v>
      </c>
      <c r="K3" s="51">
        <f>K4+K5+K6+K7+K8+K9+K10+K11+K12+K13</f>
        <v>170532.68</v>
      </c>
      <c r="L3" s="38">
        <f>L4+L5+L6+L7+L8+L9+L10+L11</f>
        <v>120754.76</v>
      </c>
      <c r="M3" s="38">
        <f>M4+M5+M6+M7+M8+M9+M10+M11+M12+M13+M14+M15</f>
        <v>162852.96</v>
      </c>
      <c r="N3" s="27">
        <f>N4+N5+N6+N7+N8+N9+N10+N11+N12+N13+N14+N15</f>
        <v>119054</v>
      </c>
      <c r="O3" s="91">
        <f>C3+D3+E3+F3+G3+H3+I3+J3+K3+L3+M3+N3</f>
        <v>1692768.56</v>
      </c>
      <c r="P3" s="91">
        <f>P4+P5+P6+P7+P8+P9+P10+P11+P12+P13+P14+P15</f>
        <v>1441800</v>
      </c>
      <c r="Q3" s="91">
        <f>Q4+Q5+Q6+Q7+Q8+Q9+Q10+Q11+Q12+Q13+Q14+Q15</f>
        <v>250968.56</v>
      </c>
      <c r="R3" s="102">
        <f>R4+R5+R6+R7+R8+R9+R10+R11+R12+R13+R14+R15</f>
        <v>1730160</v>
      </c>
      <c r="S3" s="102">
        <f>O3</f>
        <v>1692768.56</v>
      </c>
      <c r="T3" s="102">
        <f>R3-S3</f>
        <v>37391.439999999944</v>
      </c>
      <c r="U3" s="112"/>
    </row>
    <row r="4" spans="1:21" ht="15.5" x14ac:dyDescent="0.35">
      <c r="A4" s="73"/>
      <c r="B4" s="74" t="s">
        <v>48</v>
      </c>
      <c r="C4" s="11">
        <v>46000</v>
      </c>
      <c r="D4" s="11">
        <v>46000</v>
      </c>
      <c r="E4" s="12">
        <v>46000</v>
      </c>
      <c r="F4" s="12">
        <v>46000</v>
      </c>
      <c r="G4" s="12">
        <v>46000</v>
      </c>
      <c r="H4" s="12">
        <v>46000</v>
      </c>
      <c r="I4" s="53">
        <v>46000</v>
      </c>
      <c r="J4" s="12">
        <v>155897</v>
      </c>
      <c r="K4" s="12">
        <v>46000</v>
      </c>
      <c r="L4" s="53">
        <v>46000</v>
      </c>
      <c r="M4" s="10">
        <v>46000</v>
      </c>
      <c r="N4" s="13">
        <v>46000</v>
      </c>
      <c r="O4" s="113">
        <f t="shared" ref="O4:O14" si="0">C4+D4+E4+F4+G4+H4+I4+J4+K4+L4+M4+N4</f>
        <v>661897</v>
      </c>
      <c r="P4" s="92">
        <v>460000</v>
      </c>
      <c r="Q4" s="92">
        <f>O4-P4</f>
        <v>201897</v>
      </c>
      <c r="R4" s="103">
        <v>552000</v>
      </c>
      <c r="S4" s="117">
        <f t="shared" ref="S4:S44" si="1">O4</f>
        <v>661897</v>
      </c>
      <c r="T4" s="117">
        <f t="shared" ref="T4:T44" si="2">R4-S4</f>
        <v>-109897</v>
      </c>
    </row>
    <row r="5" spans="1:21" ht="15.5" x14ac:dyDescent="0.35">
      <c r="A5" s="73"/>
      <c r="B5" s="30" t="s">
        <v>13</v>
      </c>
      <c r="C5" s="11">
        <v>35000</v>
      </c>
      <c r="D5" s="11">
        <v>35000</v>
      </c>
      <c r="E5" s="12">
        <v>35000</v>
      </c>
      <c r="F5" s="12">
        <v>35000</v>
      </c>
      <c r="G5" s="12">
        <v>35000</v>
      </c>
      <c r="H5" s="12">
        <v>35000</v>
      </c>
      <c r="I5" s="53">
        <v>35000</v>
      </c>
      <c r="J5" s="12">
        <v>35000</v>
      </c>
      <c r="K5" s="12">
        <v>35000</v>
      </c>
      <c r="L5" s="53">
        <v>35000</v>
      </c>
      <c r="M5" s="10">
        <v>35000</v>
      </c>
      <c r="N5" s="13">
        <v>35000</v>
      </c>
      <c r="O5" s="113">
        <f t="shared" si="0"/>
        <v>420000</v>
      </c>
      <c r="P5" s="92">
        <v>350000</v>
      </c>
      <c r="Q5" s="92">
        <f t="shared" ref="Q5:Q15" si="3">O5-P5</f>
        <v>70000</v>
      </c>
      <c r="R5" s="103">
        <v>420000</v>
      </c>
      <c r="S5" s="117">
        <f t="shared" si="1"/>
        <v>420000</v>
      </c>
      <c r="T5" s="117">
        <f t="shared" si="2"/>
        <v>0</v>
      </c>
    </row>
    <row r="6" spans="1:21" ht="15" customHeight="1" x14ac:dyDescent="0.35">
      <c r="A6" s="73"/>
      <c r="B6" s="30" t="s">
        <v>49</v>
      </c>
      <c r="C6" s="11">
        <v>6740</v>
      </c>
      <c r="D6" s="20">
        <f>2853+2384.5</f>
        <v>5237.5</v>
      </c>
      <c r="E6" s="16">
        <v>4984.5</v>
      </c>
      <c r="F6" s="16">
        <f>2999.95+2880</f>
        <v>5879.95</v>
      </c>
      <c r="G6" s="16">
        <f>1999.68</f>
        <v>1999.68</v>
      </c>
      <c r="H6" s="16">
        <f>2394.5+2600</f>
        <v>4994.5</v>
      </c>
      <c r="I6" s="19">
        <v>8162</v>
      </c>
      <c r="J6" s="16">
        <v>1934.4</v>
      </c>
      <c r="K6" s="16">
        <v>5000</v>
      </c>
      <c r="L6" s="19">
        <v>4999.76</v>
      </c>
      <c r="M6" s="19">
        <v>4999.76</v>
      </c>
      <c r="N6" s="16">
        <v>5000</v>
      </c>
      <c r="O6" s="113">
        <f t="shared" si="0"/>
        <v>59932.05000000001</v>
      </c>
      <c r="P6" s="92">
        <v>50000</v>
      </c>
      <c r="Q6" s="92">
        <f t="shared" si="3"/>
        <v>9932.0500000000102</v>
      </c>
      <c r="R6" s="103">
        <v>60000</v>
      </c>
      <c r="S6" s="117">
        <f t="shared" si="1"/>
        <v>59932.05000000001</v>
      </c>
      <c r="T6" s="117">
        <f t="shared" si="2"/>
        <v>67.949999999989814</v>
      </c>
    </row>
    <row r="7" spans="1:21" ht="15.5" x14ac:dyDescent="0.35">
      <c r="A7" s="73"/>
      <c r="B7" s="30" t="s">
        <v>55</v>
      </c>
      <c r="C7" s="11">
        <v>1630</v>
      </c>
      <c r="D7" s="11">
        <v>1120</v>
      </c>
      <c r="E7" s="12">
        <v>1040</v>
      </c>
      <c r="F7" s="12">
        <v>1040</v>
      </c>
      <c r="G7" s="12">
        <v>1080</v>
      </c>
      <c r="H7" s="12">
        <v>3240</v>
      </c>
      <c r="I7" s="54"/>
      <c r="J7" s="15">
        <v>520</v>
      </c>
      <c r="K7" s="12">
        <v>1130</v>
      </c>
      <c r="L7" s="53">
        <v>600</v>
      </c>
      <c r="M7" s="10">
        <v>974</v>
      </c>
      <c r="N7" s="13">
        <v>974</v>
      </c>
      <c r="O7" s="113">
        <f t="shared" si="0"/>
        <v>13348</v>
      </c>
      <c r="P7" s="92">
        <v>10800</v>
      </c>
      <c r="Q7" s="92">
        <f t="shared" si="3"/>
        <v>2548</v>
      </c>
      <c r="R7" s="104">
        <v>12960</v>
      </c>
      <c r="S7" s="117">
        <f t="shared" si="1"/>
        <v>13348</v>
      </c>
      <c r="T7" s="117">
        <f t="shared" si="2"/>
        <v>-388</v>
      </c>
    </row>
    <row r="8" spans="1:21" ht="15.5" x14ac:dyDescent="0.35">
      <c r="A8" s="73"/>
      <c r="B8" s="30" t="s">
        <v>14</v>
      </c>
      <c r="C8" s="11">
        <f>541+211</f>
        <v>752</v>
      </c>
      <c r="D8" s="11">
        <f>306+222.4</f>
        <v>528.4</v>
      </c>
      <c r="E8" s="16">
        <f>408+220.8</f>
        <v>628.79999999999995</v>
      </c>
      <c r="F8" s="16">
        <v>567.6</v>
      </c>
      <c r="G8" s="16">
        <v>447.6</v>
      </c>
      <c r="H8" s="16">
        <v>390.8</v>
      </c>
      <c r="I8" s="55">
        <v>294</v>
      </c>
      <c r="J8" s="18">
        <v>1164.4000000000001</v>
      </c>
      <c r="K8" s="16">
        <v>2952.6</v>
      </c>
      <c r="L8" s="19">
        <v>1109</v>
      </c>
      <c r="M8" s="19">
        <v>1237</v>
      </c>
      <c r="N8" s="16">
        <v>845</v>
      </c>
      <c r="O8" s="113">
        <f t="shared" si="0"/>
        <v>10917.2</v>
      </c>
      <c r="P8" s="92">
        <v>15000</v>
      </c>
      <c r="Q8" s="92">
        <f t="shared" si="3"/>
        <v>-4082.7999999999993</v>
      </c>
      <c r="R8" s="104">
        <v>18000</v>
      </c>
      <c r="S8" s="117">
        <f t="shared" si="1"/>
        <v>10917.2</v>
      </c>
      <c r="T8" s="117">
        <f t="shared" si="2"/>
        <v>7082.7999999999993</v>
      </c>
    </row>
    <row r="9" spans="1:21" ht="15.5" x14ac:dyDescent="0.35">
      <c r="A9" s="73"/>
      <c r="B9" s="71" t="s">
        <v>41</v>
      </c>
      <c r="C9" s="11">
        <v>30000</v>
      </c>
      <c r="D9" s="11">
        <v>30000</v>
      </c>
      <c r="E9" s="16">
        <v>30000</v>
      </c>
      <c r="F9" s="16">
        <v>30000</v>
      </c>
      <c r="G9" s="16">
        <v>30000</v>
      </c>
      <c r="H9" s="16">
        <v>30000</v>
      </c>
      <c r="I9" s="19">
        <v>30000</v>
      </c>
      <c r="J9" s="16">
        <v>30000</v>
      </c>
      <c r="K9" s="16">
        <v>30000</v>
      </c>
      <c r="L9" s="19">
        <v>30000</v>
      </c>
      <c r="M9" s="19">
        <v>30000</v>
      </c>
      <c r="N9" s="16">
        <v>30000</v>
      </c>
      <c r="O9" s="113">
        <f t="shared" si="0"/>
        <v>360000</v>
      </c>
      <c r="P9" s="92">
        <v>300000</v>
      </c>
      <c r="Q9" s="92">
        <f t="shared" si="3"/>
        <v>60000</v>
      </c>
      <c r="R9" s="104">
        <v>360000</v>
      </c>
      <c r="S9" s="117">
        <f t="shared" si="1"/>
        <v>360000</v>
      </c>
      <c r="T9" s="117">
        <f t="shared" si="2"/>
        <v>0</v>
      </c>
    </row>
    <row r="10" spans="1:21" ht="29" x14ac:dyDescent="0.35">
      <c r="A10" s="73"/>
      <c r="B10" s="72" t="s">
        <v>42</v>
      </c>
      <c r="C10" s="11">
        <v>294.5</v>
      </c>
      <c r="D10" s="11">
        <v>1277.5</v>
      </c>
      <c r="E10" s="16">
        <v>95.5</v>
      </c>
      <c r="F10" s="16">
        <v>8183.53</v>
      </c>
      <c r="G10" s="16">
        <v>3199</v>
      </c>
      <c r="H10" s="16">
        <v>1925</v>
      </c>
      <c r="I10" s="56"/>
      <c r="J10" s="16">
        <v>2150</v>
      </c>
      <c r="K10" s="16">
        <v>7336.08</v>
      </c>
      <c r="L10" s="19">
        <v>1690</v>
      </c>
      <c r="M10" s="19">
        <v>1200</v>
      </c>
      <c r="N10" s="16">
        <v>1003</v>
      </c>
      <c r="O10" s="113">
        <f t="shared" si="0"/>
        <v>28354.11</v>
      </c>
      <c r="P10" s="92">
        <v>40000</v>
      </c>
      <c r="Q10" s="92">
        <f t="shared" si="3"/>
        <v>-11645.89</v>
      </c>
      <c r="R10" s="104">
        <v>48000</v>
      </c>
      <c r="S10" s="117">
        <f t="shared" si="1"/>
        <v>28354.11</v>
      </c>
      <c r="T10" s="117">
        <f t="shared" si="2"/>
        <v>19645.89</v>
      </c>
    </row>
    <row r="11" spans="1:21" ht="15.5" x14ac:dyDescent="0.35">
      <c r="A11" s="73"/>
      <c r="B11" s="72" t="s">
        <v>44</v>
      </c>
      <c r="C11" s="11"/>
      <c r="D11" s="11">
        <v>10600</v>
      </c>
      <c r="E11" s="16">
        <v>4069</v>
      </c>
      <c r="F11" s="16"/>
      <c r="G11" s="16">
        <v>4852</v>
      </c>
      <c r="H11" s="16"/>
      <c r="I11" s="56"/>
      <c r="J11" s="16"/>
      <c r="K11" s="16">
        <f>17000+11614</f>
        <v>28614</v>
      </c>
      <c r="L11" s="19">
        <v>1356</v>
      </c>
      <c r="M11" s="19">
        <v>9462.2000000000007</v>
      </c>
      <c r="N11" s="16">
        <v>232</v>
      </c>
      <c r="O11" s="113">
        <f t="shared" si="0"/>
        <v>59185.2</v>
      </c>
      <c r="P11" s="92">
        <v>30000</v>
      </c>
      <c r="Q11" s="92">
        <f t="shared" si="3"/>
        <v>29185.199999999997</v>
      </c>
      <c r="R11" s="104">
        <v>36000</v>
      </c>
      <c r="S11" s="117">
        <f t="shared" si="1"/>
        <v>59185.2</v>
      </c>
      <c r="T11" s="117">
        <f t="shared" si="2"/>
        <v>-23185.199999999997</v>
      </c>
    </row>
    <row r="12" spans="1:21" ht="29" x14ac:dyDescent="0.35">
      <c r="A12" s="73"/>
      <c r="B12" s="72" t="s">
        <v>45</v>
      </c>
      <c r="C12" s="11"/>
      <c r="D12" s="11"/>
      <c r="E12" s="16"/>
      <c r="F12" s="16">
        <f>11550+2175</f>
        <v>13725</v>
      </c>
      <c r="G12" s="16">
        <v>4300</v>
      </c>
      <c r="H12" s="16"/>
      <c r="I12" s="56"/>
      <c r="J12" s="16"/>
      <c r="K12" s="16">
        <v>1500</v>
      </c>
      <c r="L12" s="19"/>
      <c r="M12" s="19">
        <v>33980</v>
      </c>
      <c r="N12" s="16"/>
      <c r="O12" s="113">
        <f t="shared" si="0"/>
        <v>53505</v>
      </c>
      <c r="P12" s="92">
        <v>44000</v>
      </c>
      <c r="Q12" s="92">
        <f t="shared" si="3"/>
        <v>9505</v>
      </c>
      <c r="R12" s="104">
        <v>52800</v>
      </c>
      <c r="S12" s="117">
        <f t="shared" si="1"/>
        <v>53505</v>
      </c>
      <c r="T12" s="117">
        <f t="shared" si="2"/>
        <v>-705</v>
      </c>
    </row>
    <row r="13" spans="1:21" ht="15.5" x14ac:dyDescent="0.35">
      <c r="A13" s="73"/>
      <c r="B13" s="72" t="s">
        <v>46</v>
      </c>
      <c r="C13" s="11"/>
      <c r="D13" s="11"/>
      <c r="E13" s="16"/>
      <c r="F13" s="16"/>
      <c r="G13" s="16"/>
      <c r="H13" s="16"/>
      <c r="I13" s="56"/>
      <c r="J13" s="16"/>
      <c r="K13" s="16">
        <f>10000+3000</f>
        <v>13000</v>
      </c>
      <c r="L13" s="19"/>
      <c r="M13" s="19"/>
      <c r="N13" s="16"/>
      <c r="O13" s="113">
        <f t="shared" si="0"/>
        <v>13000</v>
      </c>
      <c r="P13" s="92">
        <v>100000</v>
      </c>
      <c r="Q13" s="92">
        <f t="shared" si="3"/>
        <v>-87000</v>
      </c>
      <c r="R13" s="104">
        <v>120000</v>
      </c>
      <c r="S13" s="117">
        <f t="shared" si="1"/>
        <v>13000</v>
      </c>
      <c r="T13" s="117">
        <f t="shared" si="2"/>
        <v>107000</v>
      </c>
    </row>
    <row r="14" spans="1:21" ht="15.5" x14ac:dyDescent="0.35">
      <c r="A14" s="73"/>
      <c r="B14" s="72" t="s">
        <v>47</v>
      </c>
      <c r="C14" s="11"/>
      <c r="D14" s="11"/>
      <c r="E14" s="16">
        <v>130</v>
      </c>
      <c r="F14" s="16"/>
      <c r="G14" s="16">
        <v>12500</v>
      </c>
      <c r="H14" s="16"/>
      <c r="I14" s="56"/>
      <c r="J14" s="16"/>
      <c r="K14" s="16"/>
      <c r="L14" s="19"/>
      <c r="M14" s="19"/>
      <c r="N14" s="16"/>
      <c r="O14" s="113">
        <f t="shared" si="0"/>
        <v>12630</v>
      </c>
      <c r="P14" s="92">
        <v>30000</v>
      </c>
      <c r="Q14" s="92">
        <f t="shared" si="3"/>
        <v>-17370</v>
      </c>
      <c r="R14" s="104">
        <v>36000</v>
      </c>
      <c r="S14" s="117">
        <f t="shared" si="1"/>
        <v>12630</v>
      </c>
      <c r="T14" s="117">
        <f t="shared" si="2"/>
        <v>23370</v>
      </c>
    </row>
    <row r="15" spans="1:21" ht="18" customHeight="1" x14ac:dyDescent="0.35">
      <c r="A15" s="73"/>
      <c r="B15" s="71" t="s">
        <v>43</v>
      </c>
      <c r="C15" s="11"/>
      <c r="D15" s="11"/>
      <c r="E15" s="16"/>
      <c r="F15" s="16"/>
      <c r="G15" s="16"/>
      <c r="H15" s="12"/>
      <c r="I15" s="19"/>
      <c r="J15" s="16"/>
      <c r="K15" s="16"/>
      <c r="L15" s="19"/>
      <c r="M15" s="19"/>
      <c r="N15" s="16"/>
      <c r="O15" s="113">
        <v>0</v>
      </c>
      <c r="P15" s="92">
        <v>12000</v>
      </c>
      <c r="Q15" s="92">
        <f t="shared" si="3"/>
        <v>-12000</v>
      </c>
      <c r="R15" s="103">
        <v>14400</v>
      </c>
      <c r="S15" s="117">
        <f t="shared" si="1"/>
        <v>0</v>
      </c>
      <c r="T15" s="117">
        <f t="shared" si="2"/>
        <v>14400</v>
      </c>
    </row>
    <row r="16" spans="1:21" ht="15.5" x14ac:dyDescent="0.35">
      <c r="A16" s="31">
        <v>2</v>
      </c>
      <c r="B16" s="32" t="s">
        <v>15</v>
      </c>
      <c r="C16" s="33">
        <f>C17+C18+19:19</f>
        <v>1440</v>
      </c>
      <c r="D16" s="33">
        <f>D17+D18+D19</f>
        <v>33000</v>
      </c>
      <c r="E16" s="33">
        <f>E17+E18+19:19</f>
        <v>80900</v>
      </c>
      <c r="F16" s="33">
        <f>F17+F18+19:19</f>
        <v>33378.99</v>
      </c>
      <c r="G16" s="33">
        <f>G17+G18+19:19</f>
        <v>33000</v>
      </c>
      <c r="H16" s="33">
        <f>H17+H18+19:19</f>
        <v>33000</v>
      </c>
      <c r="I16" s="38">
        <f>I17+I18+I19</f>
        <v>645.73</v>
      </c>
      <c r="J16" s="27">
        <f>J17+J18</f>
        <v>66000</v>
      </c>
      <c r="K16" s="33">
        <f>K17+K18+K19</f>
        <v>33000</v>
      </c>
      <c r="L16" s="38">
        <f>L17+L18</f>
        <v>43840</v>
      </c>
      <c r="M16" s="38">
        <f>M17+M18+M19</f>
        <v>37849.979999999996</v>
      </c>
      <c r="N16" s="27">
        <f>N17+N18+N19</f>
        <v>34116</v>
      </c>
      <c r="O16" s="91">
        <f>C16+D16+E16+F16+G16+H16+I16+J16+K16+L16+M16+N16</f>
        <v>430170.69999999995</v>
      </c>
      <c r="P16" s="91">
        <f>P17+P18+P19</f>
        <v>480000</v>
      </c>
      <c r="Q16" s="91">
        <f>Q17+Q18+Q19</f>
        <v>-49829.3</v>
      </c>
      <c r="R16" s="102">
        <f>R17+R18+R19</f>
        <v>576000</v>
      </c>
      <c r="S16" s="102">
        <f t="shared" si="1"/>
        <v>430170.69999999995</v>
      </c>
      <c r="T16" s="102">
        <f t="shared" si="2"/>
        <v>145829.30000000005</v>
      </c>
    </row>
    <row r="17" spans="1:20" ht="36.75" customHeight="1" x14ac:dyDescent="0.35">
      <c r="A17" s="7"/>
      <c r="B17" s="8" t="s">
        <v>50</v>
      </c>
      <c r="C17" s="11"/>
      <c r="D17" s="11">
        <v>33000</v>
      </c>
      <c r="E17" s="16">
        <v>33000</v>
      </c>
      <c r="F17" s="16">
        <v>33000</v>
      </c>
      <c r="G17" s="16">
        <v>33000</v>
      </c>
      <c r="H17" s="16">
        <v>33000</v>
      </c>
      <c r="I17" s="19"/>
      <c r="J17" s="16">
        <v>66000</v>
      </c>
      <c r="K17" s="17">
        <v>33000</v>
      </c>
      <c r="L17" s="19">
        <v>33000</v>
      </c>
      <c r="M17" s="19">
        <v>33000</v>
      </c>
      <c r="N17" s="16">
        <v>33000</v>
      </c>
      <c r="O17" s="113">
        <f t="shared" ref="O17:O19" si="4">C17+D17+E17+F17+G17+H17+I17+J17+K17+L17+M17+N17</f>
        <v>363000</v>
      </c>
      <c r="P17" s="92">
        <v>330000</v>
      </c>
      <c r="Q17" s="92">
        <f>O17-P17</f>
        <v>33000</v>
      </c>
      <c r="R17" s="103">
        <v>396000</v>
      </c>
      <c r="S17" s="117">
        <f t="shared" si="1"/>
        <v>363000</v>
      </c>
      <c r="T17" s="117">
        <f t="shared" si="2"/>
        <v>33000</v>
      </c>
    </row>
    <row r="18" spans="1:20" ht="15.5" x14ac:dyDescent="0.35">
      <c r="A18" s="7"/>
      <c r="B18" s="8" t="s">
        <v>51</v>
      </c>
      <c r="C18" s="11">
        <v>1440</v>
      </c>
      <c r="D18" s="11"/>
      <c r="E18" s="16">
        <v>47900</v>
      </c>
      <c r="F18" s="16">
        <v>378.99</v>
      </c>
      <c r="G18" s="16"/>
      <c r="H18" s="17"/>
      <c r="I18" s="56">
        <v>645.73</v>
      </c>
      <c r="J18" s="17"/>
      <c r="K18" s="17"/>
      <c r="L18" s="19">
        <f>840+10000</f>
        <v>10840</v>
      </c>
      <c r="M18" s="19">
        <f>999.98+3850</f>
        <v>4849.9799999999996</v>
      </c>
      <c r="N18" s="16">
        <v>1116</v>
      </c>
      <c r="O18" s="113">
        <f t="shared" si="4"/>
        <v>67170.7</v>
      </c>
      <c r="P18" s="92">
        <v>80000</v>
      </c>
      <c r="Q18" s="92">
        <f t="shared" ref="Q18:Q19" si="5">O18-P18</f>
        <v>-12829.300000000003</v>
      </c>
      <c r="R18" s="103">
        <v>96000</v>
      </c>
      <c r="S18" s="117">
        <f t="shared" si="1"/>
        <v>67170.7</v>
      </c>
      <c r="T18" s="117">
        <f t="shared" si="2"/>
        <v>28829.300000000003</v>
      </c>
    </row>
    <row r="19" spans="1:20" ht="39" x14ac:dyDescent="0.35">
      <c r="A19" s="7"/>
      <c r="B19" s="8" t="s">
        <v>16</v>
      </c>
      <c r="C19" s="11"/>
      <c r="D19" s="11"/>
      <c r="E19" s="16"/>
      <c r="F19" s="16"/>
      <c r="G19" s="16"/>
      <c r="H19" s="17"/>
      <c r="I19" s="19"/>
      <c r="J19" s="18"/>
      <c r="K19" s="17"/>
      <c r="L19" s="19"/>
      <c r="M19" s="19"/>
      <c r="N19" s="16"/>
      <c r="O19" s="113">
        <f t="shared" si="4"/>
        <v>0</v>
      </c>
      <c r="P19" s="92">
        <v>70000</v>
      </c>
      <c r="Q19" s="92">
        <f t="shared" si="5"/>
        <v>-70000</v>
      </c>
      <c r="R19" s="103">
        <v>84000</v>
      </c>
      <c r="S19" s="117">
        <f t="shared" si="1"/>
        <v>0</v>
      </c>
      <c r="T19" s="117">
        <f t="shared" si="2"/>
        <v>84000</v>
      </c>
    </row>
    <row r="20" spans="1:20" ht="27" customHeight="1" x14ac:dyDescent="0.35">
      <c r="A20" s="31">
        <v>3</v>
      </c>
      <c r="B20" s="32" t="s">
        <v>33</v>
      </c>
      <c r="C20" s="33">
        <f t="shared" ref="C20:H20" si="6">C21+C22+C23+C24</f>
        <v>68936.47</v>
      </c>
      <c r="D20" s="33">
        <f t="shared" si="6"/>
        <v>77175.23000000001</v>
      </c>
      <c r="E20" s="33">
        <f t="shared" si="6"/>
        <v>68554.649999999994</v>
      </c>
      <c r="F20" s="33">
        <f t="shared" si="6"/>
        <v>48490.79</v>
      </c>
      <c r="G20" s="33">
        <f t="shared" si="6"/>
        <v>55262.79</v>
      </c>
      <c r="H20" s="33">
        <f t="shared" si="6"/>
        <v>49111.75</v>
      </c>
      <c r="I20" s="38">
        <f t="shared" ref="I20:N20" si="7">I21+I22+I23+I24</f>
        <v>52442.26</v>
      </c>
      <c r="J20" s="27">
        <f t="shared" si="7"/>
        <v>55408.71</v>
      </c>
      <c r="K20" s="27">
        <f t="shared" si="7"/>
        <v>60341.67</v>
      </c>
      <c r="L20" s="38">
        <f t="shared" si="7"/>
        <v>72649.14</v>
      </c>
      <c r="M20" s="38">
        <f t="shared" si="7"/>
        <v>68258.039999999994</v>
      </c>
      <c r="N20" s="27">
        <f t="shared" si="7"/>
        <v>67533.42</v>
      </c>
      <c r="O20" s="91">
        <f>C20+D20+E20+F20+G20+H20+I20+J20+K20+L20+M20+N20</f>
        <v>744164.92000000016</v>
      </c>
      <c r="P20" s="91">
        <f>P21+P22+P23+P24</f>
        <v>640000</v>
      </c>
      <c r="Q20" s="91">
        <f>Q21+Q22+Q23+Q24</f>
        <v>104164.92000000007</v>
      </c>
      <c r="R20" s="102">
        <f>R21+R22+R23+R24</f>
        <v>768000</v>
      </c>
      <c r="S20" s="102">
        <f t="shared" si="1"/>
        <v>744164.92000000016</v>
      </c>
      <c r="T20" s="102">
        <f t="shared" si="2"/>
        <v>23835.079999999842</v>
      </c>
    </row>
    <row r="21" spans="1:20" ht="19.5" customHeight="1" x14ac:dyDescent="0.35">
      <c r="A21" s="7"/>
      <c r="B21" s="8" t="s">
        <v>34</v>
      </c>
      <c r="C21" s="11">
        <v>20153.98</v>
      </c>
      <c r="D21" s="11">
        <v>19157.16</v>
      </c>
      <c r="E21" s="16">
        <v>16986.419999999998</v>
      </c>
      <c r="F21" s="16">
        <v>13667.06</v>
      </c>
      <c r="G21" s="16">
        <v>12326.16</v>
      </c>
      <c r="H21" s="16">
        <v>10469.14</v>
      </c>
      <c r="I21" s="19">
        <v>12688.2</v>
      </c>
      <c r="J21" s="18">
        <v>16599.599999999999</v>
      </c>
      <c r="K21" s="16">
        <v>19424.5</v>
      </c>
      <c r="L21" s="19">
        <v>20940.3</v>
      </c>
      <c r="M21" s="19">
        <v>22270.6</v>
      </c>
      <c r="N21" s="16">
        <v>24883.5</v>
      </c>
      <c r="O21" s="113">
        <f t="shared" ref="O21:O24" si="8">C21+D21+E21+F21+G21+H21+I21+J21+K21+L21+M21+N21</f>
        <v>209566.62</v>
      </c>
      <c r="P21" s="92">
        <v>200000</v>
      </c>
      <c r="Q21" s="92">
        <f>O21-P21</f>
        <v>9566.6199999999953</v>
      </c>
      <c r="R21" s="103">
        <v>240000</v>
      </c>
      <c r="S21" s="117">
        <f t="shared" si="1"/>
        <v>209566.62</v>
      </c>
      <c r="T21" s="117">
        <f t="shared" si="2"/>
        <v>30433.380000000005</v>
      </c>
    </row>
    <row r="22" spans="1:20" ht="19.5" customHeight="1" x14ac:dyDescent="0.35">
      <c r="A22" s="7"/>
      <c r="B22" s="8" t="s">
        <v>35</v>
      </c>
      <c r="C22" s="11">
        <v>2949.98</v>
      </c>
      <c r="D22" s="11">
        <v>3420.56</v>
      </c>
      <c r="E22" s="16">
        <v>3096.72</v>
      </c>
      <c r="F22" s="16">
        <v>4235.22</v>
      </c>
      <c r="G22" s="16">
        <v>3805.12</v>
      </c>
      <c r="H22" s="16">
        <v>3972.1</v>
      </c>
      <c r="I22" s="19">
        <v>4420.2</v>
      </c>
      <c r="J22" s="18">
        <v>4261.2</v>
      </c>
      <c r="K22" s="16">
        <v>4319.5</v>
      </c>
      <c r="L22" s="19">
        <v>5013.8</v>
      </c>
      <c r="M22" s="19">
        <v>4462.6000000000004</v>
      </c>
      <c r="N22" s="16">
        <v>4992.6000000000004</v>
      </c>
      <c r="O22" s="113">
        <f t="shared" si="8"/>
        <v>48949.599999999999</v>
      </c>
      <c r="P22" s="92">
        <v>50000</v>
      </c>
      <c r="Q22" s="92">
        <f t="shared" ref="Q22:Q24" si="9">O22-P22</f>
        <v>-1050.4000000000015</v>
      </c>
      <c r="R22" s="103">
        <v>60000</v>
      </c>
      <c r="S22" s="117">
        <f t="shared" si="1"/>
        <v>48949.599999999999</v>
      </c>
      <c r="T22" s="117">
        <f t="shared" si="2"/>
        <v>11050.400000000001</v>
      </c>
    </row>
    <row r="23" spans="1:20" ht="20.25" customHeight="1" x14ac:dyDescent="0.35">
      <c r="A23" s="7"/>
      <c r="B23" s="8" t="s">
        <v>36</v>
      </c>
      <c r="C23" s="11">
        <v>10964.51</v>
      </c>
      <c r="D23" s="14">
        <v>10964.51</v>
      </c>
      <c r="E23" s="16">
        <v>10964.51</v>
      </c>
      <c r="F23" s="16">
        <v>10964.51</v>
      </c>
      <c r="G23" s="16">
        <v>10964.51</v>
      </c>
      <c r="H23" s="16">
        <v>10964.51</v>
      </c>
      <c r="I23" s="19">
        <v>11484.57</v>
      </c>
      <c r="J23" s="18">
        <v>11484.57</v>
      </c>
      <c r="K23" s="16">
        <v>11484.57</v>
      </c>
      <c r="L23" s="19">
        <v>11484.57</v>
      </c>
      <c r="M23" s="19">
        <v>11484.57</v>
      </c>
      <c r="N23" s="16">
        <v>11484.57</v>
      </c>
      <c r="O23" s="113">
        <f t="shared" si="8"/>
        <v>134694.48000000004</v>
      </c>
      <c r="P23" s="92">
        <v>110000</v>
      </c>
      <c r="Q23" s="92">
        <f t="shared" si="9"/>
        <v>24694.48000000004</v>
      </c>
      <c r="R23" s="103">
        <v>132000</v>
      </c>
      <c r="S23" s="117">
        <f t="shared" si="1"/>
        <v>134694.48000000004</v>
      </c>
      <c r="T23" s="117">
        <f t="shared" si="2"/>
        <v>-2694.4800000000396</v>
      </c>
    </row>
    <row r="24" spans="1:20" ht="19.5" customHeight="1" x14ac:dyDescent="0.35">
      <c r="A24" s="7"/>
      <c r="B24" s="8" t="s">
        <v>37</v>
      </c>
      <c r="C24" s="11">
        <v>34868</v>
      </c>
      <c r="D24" s="11">
        <v>43633</v>
      </c>
      <c r="E24" s="16">
        <v>37507</v>
      </c>
      <c r="F24" s="16">
        <v>19624</v>
      </c>
      <c r="G24" s="16">
        <v>28167</v>
      </c>
      <c r="H24" s="16">
        <v>23706</v>
      </c>
      <c r="I24" s="39">
        <v>23849.29</v>
      </c>
      <c r="J24" s="16">
        <v>23063.34</v>
      </c>
      <c r="K24" s="16">
        <v>25113.1</v>
      </c>
      <c r="L24" s="19">
        <v>35210.47</v>
      </c>
      <c r="M24" s="19">
        <v>30040.27</v>
      </c>
      <c r="N24" s="16">
        <v>26172.75</v>
      </c>
      <c r="O24" s="113">
        <f t="shared" si="8"/>
        <v>350954.22000000003</v>
      </c>
      <c r="P24" s="92">
        <v>280000</v>
      </c>
      <c r="Q24" s="92">
        <f t="shared" si="9"/>
        <v>70954.22000000003</v>
      </c>
      <c r="R24" s="103">
        <v>336000</v>
      </c>
      <c r="S24" s="117">
        <f t="shared" si="1"/>
        <v>350954.22000000003</v>
      </c>
      <c r="T24" s="117">
        <f t="shared" si="2"/>
        <v>-14954.22000000003</v>
      </c>
    </row>
    <row r="25" spans="1:20" ht="25.5" customHeight="1" x14ac:dyDescent="0.35">
      <c r="A25" s="31">
        <v>4</v>
      </c>
      <c r="B25" s="40" t="s">
        <v>18</v>
      </c>
      <c r="C25" s="33">
        <f>54000+63000+6000</f>
        <v>123000</v>
      </c>
      <c r="D25" s="27">
        <f>54000+6000</f>
        <v>60000</v>
      </c>
      <c r="E25" s="27">
        <f>45000</f>
        <v>45000</v>
      </c>
      <c r="F25" s="27">
        <v>36000</v>
      </c>
      <c r="G25" s="27">
        <v>90000</v>
      </c>
      <c r="H25" s="27">
        <v>117000</v>
      </c>
      <c r="I25" s="38">
        <v>135000</v>
      </c>
      <c r="J25" s="27">
        <v>279000</v>
      </c>
      <c r="K25" s="27">
        <v>45000</v>
      </c>
      <c r="L25" s="38">
        <v>144000</v>
      </c>
      <c r="M25" s="38">
        <v>96000</v>
      </c>
      <c r="N25" s="27">
        <v>0</v>
      </c>
      <c r="O25" s="94">
        <f>C25+D25+E25+F25+G25+H25+I25+J25+K25+L25+M25+N25</f>
        <v>1170000</v>
      </c>
      <c r="P25" s="94">
        <v>1310000</v>
      </c>
      <c r="Q25" s="94">
        <f>O25-P25</f>
        <v>-140000</v>
      </c>
      <c r="R25" s="105">
        <v>1572000</v>
      </c>
      <c r="S25" s="102">
        <f t="shared" si="1"/>
        <v>1170000</v>
      </c>
      <c r="T25" s="102">
        <f t="shared" si="2"/>
        <v>402000</v>
      </c>
    </row>
    <row r="26" spans="1:20" ht="28.5" customHeight="1" x14ac:dyDescent="0.35">
      <c r="A26" s="31">
        <v>5</v>
      </c>
      <c r="B26" s="40" t="s">
        <v>19</v>
      </c>
      <c r="C26" s="33">
        <f>C27+C28+C29+C30+C31</f>
        <v>64822.8</v>
      </c>
      <c r="D26" s="33">
        <f>D27+D28+D29+D30+D31</f>
        <v>275221.25</v>
      </c>
      <c r="E26" s="33">
        <f>E27+E28+E30+E31</f>
        <v>308776.84999999998</v>
      </c>
      <c r="F26" s="33">
        <f>F27+F28+F29+F30+F31+F32</f>
        <v>311667.20000000001</v>
      </c>
      <c r="G26" s="33">
        <f>G27+G28+G29+G30+G31+G32</f>
        <v>208573.38</v>
      </c>
      <c r="H26" s="33">
        <v>108488.63</v>
      </c>
      <c r="I26" s="38">
        <f>I27+I28+I29+I30+I31+I32</f>
        <v>126223.69</v>
      </c>
      <c r="J26" s="27">
        <f>J27+J28+J29+J30+J32</f>
        <v>107830.2</v>
      </c>
      <c r="K26" s="27">
        <f>K27+K28+K29+K30+K31+K32</f>
        <v>254341.78</v>
      </c>
      <c r="L26" s="38">
        <f>L27+L28+L29+L30+L31+L32</f>
        <v>294383.33</v>
      </c>
      <c r="M26" s="38">
        <f>M27+M28+M29+M30+M31+M32</f>
        <v>135387.95000000001</v>
      </c>
      <c r="N26" s="27">
        <f>N27+N28+N29+N30+N31+N32</f>
        <v>102871.25</v>
      </c>
      <c r="O26" s="91">
        <f>C26+D26+E26+G26+F26+H26+I26+J26+K26+L26+M26+N26</f>
        <v>2298588.31</v>
      </c>
      <c r="P26" s="91">
        <f>P27+P28+P29+P30+P31+P32</f>
        <v>1557780</v>
      </c>
      <c r="Q26" s="91">
        <f>Q27+Q28+Q29+Q30+Q31+Q32</f>
        <v>740808.31</v>
      </c>
      <c r="R26" s="102">
        <f>R27+R28+R29+R30+R31+R32</f>
        <v>1869336</v>
      </c>
      <c r="S26" s="102">
        <f t="shared" si="1"/>
        <v>2298588.31</v>
      </c>
      <c r="T26" s="102">
        <f t="shared" si="2"/>
        <v>-429252.31000000006</v>
      </c>
    </row>
    <row r="27" spans="1:20" ht="15.5" x14ac:dyDescent="0.35">
      <c r="A27" s="7"/>
      <c r="B27" s="8" t="s">
        <v>53</v>
      </c>
      <c r="C27" s="11">
        <v>49000</v>
      </c>
      <c r="D27" s="11">
        <v>49000</v>
      </c>
      <c r="E27" s="16">
        <f>49000</f>
        <v>49000</v>
      </c>
      <c r="F27" s="16">
        <f>74000</f>
        <v>74000</v>
      </c>
      <c r="G27" s="16">
        <f>74000</f>
        <v>74000</v>
      </c>
      <c r="H27" s="16">
        <f>82000</f>
        <v>82000</v>
      </c>
      <c r="I27" s="19">
        <v>83000</v>
      </c>
      <c r="J27" s="16">
        <v>68000</v>
      </c>
      <c r="K27" s="16">
        <v>120832</v>
      </c>
      <c r="L27" s="19">
        <v>99000</v>
      </c>
      <c r="M27" s="19">
        <v>74000</v>
      </c>
      <c r="N27" s="16">
        <v>74000</v>
      </c>
      <c r="O27" s="113">
        <f t="shared" ref="O27:O32" si="10">C27+D27+E27+G27+F27+H27+I27+J27+K27+L27+M27+N27</f>
        <v>895832</v>
      </c>
      <c r="P27" s="92">
        <v>636000</v>
      </c>
      <c r="Q27" s="92">
        <f>O27-P27</f>
        <v>259832</v>
      </c>
      <c r="R27" s="103">
        <v>763200</v>
      </c>
      <c r="S27" s="117">
        <f t="shared" si="1"/>
        <v>895832</v>
      </c>
      <c r="T27" s="117">
        <f t="shared" si="2"/>
        <v>-132632</v>
      </c>
    </row>
    <row r="28" spans="1:20" ht="15.5" x14ac:dyDescent="0.35">
      <c r="A28" s="7"/>
      <c r="B28" s="8" t="s">
        <v>20</v>
      </c>
      <c r="C28" s="11">
        <v>2202</v>
      </c>
      <c r="D28" s="11">
        <f>500+1104.5</f>
        <v>1604.5</v>
      </c>
      <c r="E28" s="16">
        <v>3324.5</v>
      </c>
      <c r="F28" s="16">
        <f>58770+1116.5</f>
        <v>59886.5</v>
      </c>
      <c r="G28" s="16">
        <f>1066.5+1091.5+960</f>
        <v>3118</v>
      </c>
      <c r="H28" s="16">
        <v>1091.5</v>
      </c>
      <c r="I28" s="19">
        <v>6344.85</v>
      </c>
      <c r="J28" s="16">
        <v>2599.1999999999998</v>
      </c>
      <c r="K28" s="16">
        <v>6704.36</v>
      </c>
      <c r="L28" s="19">
        <v>15815.75</v>
      </c>
      <c r="M28" s="19">
        <f>30100+6820.25</f>
        <v>36920.25</v>
      </c>
      <c r="N28" s="16">
        <v>6292.6</v>
      </c>
      <c r="O28" s="113">
        <f t="shared" si="10"/>
        <v>145904.01</v>
      </c>
      <c r="P28" s="92">
        <v>46000</v>
      </c>
      <c r="Q28" s="92">
        <f t="shared" ref="Q28:Q32" si="11">O28-P28</f>
        <v>99904.010000000009</v>
      </c>
      <c r="R28" s="103">
        <v>55200</v>
      </c>
      <c r="S28" s="117">
        <f t="shared" si="1"/>
        <v>145904.01</v>
      </c>
      <c r="T28" s="117">
        <f t="shared" si="2"/>
        <v>-90704.010000000009</v>
      </c>
    </row>
    <row r="29" spans="1:20" ht="15.5" x14ac:dyDescent="0.35">
      <c r="A29" s="7"/>
      <c r="B29" s="8" t="s">
        <v>21</v>
      </c>
      <c r="C29" s="11">
        <v>880.8</v>
      </c>
      <c r="D29" s="11">
        <v>515</v>
      </c>
      <c r="E29" s="16"/>
      <c r="F29" s="16"/>
      <c r="G29" s="16">
        <f>2520+1091.5+853.2+1240+893.2+2020.5</f>
        <v>8618.4</v>
      </c>
      <c r="H29" s="17">
        <v>9435.15</v>
      </c>
      <c r="I29" s="19">
        <v>8748.7999999999993</v>
      </c>
      <c r="J29" s="16">
        <v>6824</v>
      </c>
      <c r="K29" s="16">
        <v>6132.89</v>
      </c>
      <c r="L29" s="19">
        <v>5509.7</v>
      </c>
      <c r="M29" s="19"/>
      <c r="N29" s="16"/>
      <c r="O29" s="113">
        <f t="shared" si="10"/>
        <v>46664.739999999991</v>
      </c>
      <c r="P29" s="92">
        <v>45000</v>
      </c>
      <c r="Q29" s="92">
        <f t="shared" si="11"/>
        <v>1664.7399999999907</v>
      </c>
      <c r="R29" s="103">
        <v>54000</v>
      </c>
      <c r="S29" s="117">
        <f t="shared" si="1"/>
        <v>46664.739999999991</v>
      </c>
      <c r="T29" s="117">
        <f t="shared" si="2"/>
        <v>7335.2600000000093</v>
      </c>
    </row>
    <row r="30" spans="1:20" ht="26" x14ac:dyDescent="0.35">
      <c r="A30" s="7"/>
      <c r="B30" s="8" t="s">
        <v>22</v>
      </c>
      <c r="C30" s="11">
        <v>12740</v>
      </c>
      <c r="D30" s="11">
        <v>7101.75</v>
      </c>
      <c r="E30" s="16">
        <f>3354.35+38098</f>
        <v>41452.35</v>
      </c>
      <c r="F30" s="16">
        <v>29280.7</v>
      </c>
      <c r="G30" s="16">
        <v>21536.98</v>
      </c>
      <c r="H30" s="16">
        <v>15961.98</v>
      </c>
      <c r="I30" s="19">
        <v>10040</v>
      </c>
      <c r="J30" s="16">
        <v>45</v>
      </c>
      <c r="K30" s="16">
        <v>30298</v>
      </c>
      <c r="L30" s="19">
        <f>112533+24000</f>
        <v>136533</v>
      </c>
      <c r="M30" s="19">
        <v>23467.7</v>
      </c>
      <c r="N30" s="16">
        <v>19708.650000000001</v>
      </c>
      <c r="O30" s="113">
        <f t="shared" si="10"/>
        <v>348166.11000000004</v>
      </c>
      <c r="P30" s="92">
        <v>136000</v>
      </c>
      <c r="Q30" s="92">
        <f t="shared" si="11"/>
        <v>212166.11000000004</v>
      </c>
      <c r="R30" s="103">
        <v>163200</v>
      </c>
      <c r="S30" s="117">
        <f t="shared" si="1"/>
        <v>348166.11000000004</v>
      </c>
      <c r="T30" s="117">
        <f t="shared" si="2"/>
        <v>-184966.11000000004</v>
      </c>
    </row>
    <row r="31" spans="1:20" ht="15.5" x14ac:dyDescent="0.35">
      <c r="A31" s="7"/>
      <c r="B31" s="8" t="s">
        <v>23</v>
      </c>
      <c r="C31" s="11"/>
      <c r="D31" s="11">
        <f>100000+117000</f>
        <v>217000</v>
      </c>
      <c r="E31" s="16">
        <f>24000+6000+81000+104000</f>
        <v>215000</v>
      </c>
      <c r="F31" s="16"/>
      <c r="G31" s="16"/>
      <c r="H31" s="17"/>
      <c r="I31" s="56"/>
      <c r="J31" s="17"/>
      <c r="K31" s="17"/>
      <c r="L31" s="19"/>
      <c r="M31" s="19"/>
      <c r="N31" s="16">
        <v>2870</v>
      </c>
      <c r="O31" s="113">
        <f t="shared" si="10"/>
        <v>434870</v>
      </c>
      <c r="P31" s="92">
        <v>444780</v>
      </c>
      <c r="Q31" s="92">
        <f t="shared" si="11"/>
        <v>-9910</v>
      </c>
      <c r="R31" s="103">
        <v>533736</v>
      </c>
      <c r="S31" s="117">
        <f t="shared" si="1"/>
        <v>434870</v>
      </c>
      <c r="T31" s="117">
        <f t="shared" si="2"/>
        <v>98866</v>
      </c>
    </row>
    <row r="32" spans="1:20" ht="18" customHeight="1" x14ac:dyDescent="0.35">
      <c r="A32" s="7"/>
      <c r="B32" s="8" t="s">
        <v>54</v>
      </c>
      <c r="C32" s="11"/>
      <c r="D32" s="14"/>
      <c r="E32" s="16"/>
      <c r="F32" s="16">
        <f>136500+12000</f>
        <v>148500</v>
      </c>
      <c r="G32" s="16">
        <f>45500+55800</f>
        <v>101300</v>
      </c>
      <c r="H32" s="16"/>
      <c r="I32" s="56">
        <v>18090.04</v>
      </c>
      <c r="J32" s="16">
        <f>145362-115000</f>
        <v>30362</v>
      </c>
      <c r="K32" s="16">
        <v>90374.53</v>
      </c>
      <c r="L32" s="19">
        <v>37524.879999999997</v>
      </c>
      <c r="M32" s="19">
        <v>1000</v>
      </c>
      <c r="N32" s="16"/>
      <c r="O32" s="113">
        <f t="shared" si="10"/>
        <v>427151.44999999995</v>
      </c>
      <c r="P32" s="92">
        <v>250000</v>
      </c>
      <c r="Q32" s="92">
        <f t="shared" si="11"/>
        <v>177151.44999999995</v>
      </c>
      <c r="R32" s="103">
        <v>300000</v>
      </c>
      <c r="S32" s="117">
        <f t="shared" si="1"/>
        <v>427151.44999999995</v>
      </c>
      <c r="T32" s="117">
        <f t="shared" si="2"/>
        <v>-127151.44999999995</v>
      </c>
    </row>
    <row r="33" spans="1:20" ht="24.75" customHeight="1" x14ac:dyDescent="0.35">
      <c r="A33" s="31">
        <v>6</v>
      </c>
      <c r="B33" s="40" t="s">
        <v>24</v>
      </c>
      <c r="C33" s="33">
        <f t="shared" ref="C33:H33" si="12">C34+C35</f>
        <v>97400</v>
      </c>
      <c r="D33" s="33">
        <f t="shared" si="12"/>
        <v>97400</v>
      </c>
      <c r="E33" s="33">
        <f t="shared" si="12"/>
        <v>97400</v>
      </c>
      <c r="F33" s="33">
        <f t="shared" si="12"/>
        <v>97400</v>
      </c>
      <c r="G33" s="33">
        <f t="shared" si="12"/>
        <v>97400</v>
      </c>
      <c r="H33" s="33">
        <f t="shared" si="12"/>
        <v>97400</v>
      </c>
      <c r="I33" s="38">
        <f>I34+I35</f>
        <v>97400</v>
      </c>
      <c r="J33" s="27">
        <f>J34+J35</f>
        <v>82000</v>
      </c>
      <c r="K33" s="27">
        <f>K34+K35</f>
        <v>111045</v>
      </c>
      <c r="L33" s="38">
        <f>L34+L35</f>
        <v>82000</v>
      </c>
      <c r="M33" s="38">
        <f>M34+M35</f>
        <v>97400</v>
      </c>
      <c r="N33" s="27">
        <v>82000</v>
      </c>
      <c r="O33" s="91">
        <f>C33+D33+E33+F33+G33+H33+I33+J33+K33+L33+M33+N33</f>
        <v>1136245</v>
      </c>
      <c r="P33" s="91">
        <f>P34+P35</f>
        <v>996000</v>
      </c>
      <c r="Q33" s="91">
        <f>Q34+Q35</f>
        <v>140245</v>
      </c>
      <c r="R33" s="102">
        <f>R34+R35</f>
        <v>1195200</v>
      </c>
      <c r="S33" s="102">
        <f t="shared" si="1"/>
        <v>1136245</v>
      </c>
      <c r="T33" s="102">
        <f t="shared" si="2"/>
        <v>58955</v>
      </c>
    </row>
    <row r="34" spans="1:20" ht="15.5" x14ac:dyDescent="0.35">
      <c r="A34" s="7"/>
      <c r="B34" s="8" t="s">
        <v>25</v>
      </c>
      <c r="C34" s="11">
        <v>82000</v>
      </c>
      <c r="D34" s="11">
        <v>82000</v>
      </c>
      <c r="E34" s="12">
        <v>82000</v>
      </c>
      <c r="F34" s="12">
        <v>82000</v>
      </c>
      <c r="G34" s="12">
        <v>82000</v>
      </c>
      <c r="H34" s="12">
        <v>82000</v>
      </c>
      <c r="I34" s="53">
        <v>82000</v>
      </c>
      <c r="J34" s="12">
        <v>82000</v>
      </c>
      <c r="K34" s="12">
        <v>95645</v>
      </c>
      <c r="L34" s="53">
        <v>82000</v>
      </c>
      <c r="M34" s="10">
        <v>82000</v>
      </c>
      <c r="N34" s="13">
        <v>82000</v>
      </c>
      <c r="O34" s="113">
        <f t="shared" ref="O34:O35" si="13">C34+D34+E34+F34+G34+H34+I34+J34+K34+L34+M34+N34</f>
        <v>997645</v>
      </c>
      <c r="P34" s="92">
        <v>820000</v>
      </c>
      <c r="Q34" s="92">
        <f>O34-P34</f>
        <v>177645</v>
      </c>
      <c r="R34" s="103">
        <v>984000</v>
      </c>
      <c r="S34" s="117">
        <f t="shared" si="1"/>
        <v>997645</v>
      </c>
      <c r="T34" s="117">
        <f t="shared" si="2"/>
        <v>-13645</v>
      </c>
    </row>
    <row r="35" spans="1:20" ht="26" x14ac:dyDescent="0.35">
      <c r="A35" s="7"/>
      <c r="B35" s="8" t="s">
        <v>52</v>
      </c>
      <c r="C35" s="11">
        <v>15400</v>
      </c>
      <c r="D35" s="11">
        <v>15400</v>
      </c>
      <c r="E35" s="12">
        <v>15400</v>
      </c>
      <c r="F35" s="9">
        <v>15400</v>
      </c>
      <c r="G35" s="12">
        <v>15400</v>
      </c>
      <c r="H35" s="15">
        <v>15400</v>
      </c>
      <c r="I35" s="53">
        <v>15400</v>
      </c>
      <c r="J35" s="9"/>
      <c r="K35" s="9">
        <v>15400</v>
      </c>
      <c r="L35" s="53"/>
      <c r="M35" s="10">
        <v>15400</v>
      </c>
      <c r="N35" s="13"/>
      <c r="O35" s="113">
        <f t="shared" si="13"/>
        <v>138600</v>
      </c>
      <c r="P35" s="93">
        <v>176000</v>
      </c>
      <c r="Q35" s="92">
        <f>O35-P35</f>
        <v>-37400</v>
      </c>
      <c r="R35" s="104">
        <v>211200</v>
      </c>
      <c r="S35" s="117">
        <f t="shared" si="1"/>
        <v>138600</v>
      </c>
      <c r="T35" s="117">
        <f t="shared" si="2"/>
        <v>72600</v>
      </c>
    </row>
    <row r="36" spans="1:20" ht="24.75" customHeight="1" x14ac:dyDescent="0.35">
      <c r="A36" s="31">
        <v>7</v>
      </c>
      <c r="B36" s="40" t="s">
        <v>26</v>
      </c>
      <c r="C36" s="33">
        <f t="shared" ref="C36:H36" si="14">C37+C39+C38+C40+C41+C42</f>
        <v>81361</v>
      </c>
      <c r="D36" s="33">
        <f t="shared" si="14"/>
        <v>13892</v>
      </c>
      <c r="E36" s="33">
        <f t="shared" si="14"/>
        <v>13892</v>
      </c>
      <c r="F36" s="33">
        <f t="shared" si="14"/>
        <v>13892</v>
      </c>
      <c r="G36" s="33">
        <f t="shared" si="14"/>
        <v>13892</v>
      </c>
      <c r="H36" s="33">
        <f t="shared" si="14"/>
        <v>13892</v>
      </c>
      <c r="I36" s="38">
        <f>I39+I40+I41+I42</f>
        <v>62416</v>
      </c>
      <c r="J36" s="27">
        <f>J39+J40+J41+J42</f>
        <v>54249.63</v>
      </c>
      <c r="K36" s="27">
        <f>K39+K40+K41+K42</f>
        <v>13892</v>
      </c>
      <c r="L36" s="38">
        <f>L39+L40+L41+L42</f>
        <v>1289.5</v>
      </c>
      <c r="M36" s="38">
        <f>M37+M38+M39+M40+M41+M42+M43</f>
        <v>310984</v>
      </c>
      <c r="N36" s="27">
        <v>13800</v>
      </c>
      <c r="O36" s="91">
        <f>C36+D36+E36+F36+G36+H36+I36+J36+K36+L36+M36+N36</f>
        <v>607452.13</v>
      </c>
      <c r="P36" s="91">
        <f>P37+P39+P38+P40+P41+P42+P43</f>
        <v>198420</v>
      </c>
      <c r="Q36" s="91">
        <f>Q37+Q38+Q39+Q40+Q41+Q42+Q43</f>
        <v>409032.13</v>
      </c>
      <c r="R36" s="102">
        <f>R37+R38+R39+R40+R41+R42</f>
        <v>238104</v>
      </c>
      <c r="S36" s="102">
        <f t="shared" si="1"/>
        <v>607452.13</v>
      </c>
      <c r="T36" s="102">
        <f t="shared" si="2"/>
        <v>-369348.13</v>
      </c>
    </row>
    <row r="37" spans="1:20" ht="15.5" x14ac:dyDescent="0.35">
      <c r="A37" s="7"/>
      <c r="B37" s="30"/>
      <c r="C37" s="20"/>
      <c r="D37" s="34"/>
      <c r="E37" s="16"/>
      <c r="F37" s="17"/>
      <c r="G37" s="16"/>
      <c r="H37" s="17"/>
      <c r="I37" s="57"/>
      <c r="J37" s="9"/>
      <c r="K37" s="9"/>
      <c r="L37" s="53"/>
      <c r="M37" s="10"/>
      <c r="N37" s="13"/>
      <c r="O37" s="113">
        <f t="shared" ref="O37:O43" si="15">C37+D37+E37+F37+G37+H37+I37+J37+K37+L37+M37+N37</f>
        <v>0</v>
      </c>
      <c r="P37" s="92"/>
      <c r="Q37" s="92">
        <f>O37-P37</f>
        <v>0</v>
      </c>
      <c r="R37" s="103"/>
      <c r="S37" s="117">
        <f t="shared" si="1"/>
        <v>0</v>
      </c>
      <c r="T37" s="117">
        <f t="shared" si="2"/>
        <v>0</v>
      </c>
    </row>
    <row r="38" spans="1:20" ht="15.5" x14ac:dyDescent="0.35">
      <c r="A38" s="7"/>
      <c r="B38" s="8"/>
      <c r="C38" s="11"/>
      <c r="D38" s="14"/>
      <c r="E38" s="12"/>
      <c r="F38" s="12"/>
      <c r="G38" s="12"/>
      <c r="H38" s="9"/>
      <c r="I38" s="53"/>
      <c r="J38" s="12"/>
      <c r="K38" s="9"/>
      <c r="L38" s="53"/>
      <c r="M38" s="10"/>
      <c r="N38" s="13"/>
      <c r="O38" s="113">
        <f t="shared" si="15"/>
        <v>0</v>
      </c>
      <c r="P38" s="92"/>
      <c r="Q38" s="92">
        <f t="shared" ref="Q38:Q43" si="16">O38-P38</f>
        <v>0</v>
      </c>
      <c r="R38" s="103"/>
      <c r="S38" s="117">
        <f t="shared" si="1"/>
        <v>0</v>
      </c>
      <c r="T38" s="117">
        <f t="shared" si="2"/>
        <v>0</v>
      </c>
    </row>
    <row r="39" spans="1:20" ht="15.5" x14ac:dyDescent="0.35">
      <c r="A39" s="7"/>
      <c r="B39" s="8" t="s">
        <v>27</v>
      </c>
      <c r="C39" s="11"/>
      <c r="D39" s="11"/>
      <c r="E39" s="12"/>
      <c r="F39" s="12"/>
      <c r="G39" s="12"/>
      <c r="H39" s="12"/>
      <c r="I39" s="53"/>
      <c r="J39" s="12"/>
      <c r="K39" s="12"/>
      <c r="L39" s="53">
        <v>1289.5</v>
      </c>
      <c r="M39" s="10"/>
      <c r="N39" s="13"/>
      <c r="O39" s="113">
        <f t="shared" si="15"/>
        <v>1289.5</v>
      </c>
      <c r="P39" s="92">
        <v>3000</v>
      </c>
      <c r="Q39" s="92">
        <f t="shared" si="16"/>
        <v>-1710.5</v>
      </c>
      <c r="R39" s="103">
        <v>3600</v>
      </c>
      <c r="S39" s="117">
        <f t="shared" si="1"/>
        <v>1289.5</v>
      </c>
      <c r="T39" s="117">
        <f t="shared" si="2"/>
        <v>2310.5</v>
      </c>
    </row>
    <row r="40" spans="1:20" ht="15.5" x14ac:dyDescent="0.35">
      <c r="A40" s="7"/>
      <c r="B40" s="8" t="s">
        <v>28</v>
      </c>
      <c r="C40" s="11">
        <v>13892</v>
      </c>
      <c r="D40" s="11">
        <v>13892</v>
      </c>
      <c r="E40" s="12">
        <v>13892</v>
      </c>
      <c r="F40" s="12">
        <v>13892</v>
      </c>
      <c r="G40" s="12">
        <v>13892</v>
      </c>
      <c r="H40" s="12">
        <v>13892</v>
      </c>
      <c r="I40" s="53">
        <v>13892</v>
      </c>
      <c r="J40" s="12">
        <v>54249.63</v>
      </c>
      <c r="K40" s="12">
        <v>13892</v>
      </c>
      <c r="L40" s="53"/>
      <c r="M40" s="10">
        <v>27784</v>
      </c>
      <c r="N40" s="13">
        <v>13800</v>
      </c>
      <c r="O40" s="113">
        <f t="shared" si="15"/>
        <v>206969.63</v>
      </c>
      <c r="P40" s="92">
        <v>138920</v>
      </c>
      <c r="Q40" s="92">
        <f t="shared" si="16"/>
        <v>68049.63</v>
      </c>
      <c r="R40" s="103">
        <v>166704</v>
      </c>
      <c r="S40" s="117">
        <f t="shared" si="1"/>
        <v>206969.63</v>
      </c>
      <c r="T40" s="117">
        <f t="shared" si="2"/>
        <v>-40265.630000000005</v>
      </c>
    </row>
    <row r="41" spans="1:20" ht="15.5" x14ac:dyDescent="0.35">
      <c r="A41" s="7"/>
      <c r="B41" s="8" t="s">
        <v>29</v>
      </c>
      <c r="C41" s="11">
        <v>2917</v>
      </c>
      <c r="D41" s="14"/>
      <c r="E41" s="12"/>
      <c r="F41" s="9"/>
      <c r="G41" s="9"/>
      <c r="H41" s="9"/>
      <c r="I41" s="57"/>
      <c r="J41" s="9"/>
      <c r="K41" s="9"/>
      <c r="L41" s="53"/>
      <c r="M41" s="10"/>
      <c r="N41" s="13"/>
      <c r="O41" s="113">
        <f t="shared" si="15"/>
        <v>2917</v>
      </c>
      <c r="P41" s="92">
        <v>2500</v>
      </c>
      <c r="Q41" s="92">
        <f t="shared" si="16"/>
        <v>417</v>
      </c>
      <c r="R41" s="103">
        <v>3000</v>
      </c>
      <c r="S41" s="117">
        <f t="shared" si="1"/>
        <v>2917</v>
      </c>
      <c r="T41" s="117">
        <f t="shared" si="2"/>
        <v>83</v>
      </c>
    </row>
    <row r="42" spans="1:20" ht="15.5" x14ac:dyDescent="0.35">
      <c r="A42" s="7"/>
      <c r="B42" s="8" t="s">
        <v>32</v>
      </c>
      <c r="C42" s="11">
        <v>64552</v>
      </c>
      <c r="D42" s="11"/>
      <c r="E42" s="12"/>
      <c r="F42" s="9"/>
      <c r="G42" s="12"/>
      <c r="H42" s="9"/>
      <c r="I42" s="53">
        <v>48524</v>
      </c>
      <c r="J42" s="9"/>
      <c r="K42" s="9"/>
      <c r="L42" s="53"/>
      <c r="M42" s="10"/>
      <c r="N42" s="21">
        <v>3498973.99</v>
      </c>
      <c r="O42" s="113">
        <v>113076</v>
      </c>
      <c r="P42" s="92">
        <v>54000</v>
      </c>
      <c r="Q42" s="92">
        <f t="shared" si="16"/>
        <v>59076</v>
      </c>
      <c r="R42" s="103">
        <v>64800</v>
      </c>
      <c r="S42" s="117">
        <f t="shared" si="1"/>
        <v>113076</v>
      </c>
      <c r="T42" s="117">
        <f t="shared" si="2"/>
        <v>-48276</v>
      </c>
    </row>
    <row r="43" spans="1:20" ht="15.5" x14ac:dyDescent="0.35">
      <c r="A43" s="7"/>
      <c r="B43" s="8"/>
      <c r="C43" s="11"/>
      <c r="D43" s="11"/>
      <c r="E43" s="12"/>
      <c r="F43" s="9"/>
      <c r="G43" s="12"/>
      <c r="H43" s="9"/>
      <c r="I43" s="57"/>
      <c r="J43" s="9"/>
      <c r="K43" s="9"/>
      <c r="L43" s="53"/>
      <c r="M43" s="10">
        <f>132000+151200</f>
        <v>283200</v>
      </c>
      <c r="N43" s="21"/>
      <c r="O43" s="113">
        <f t="shared" si="15"/>
        <v>283200</v>
      </c>
      <c r="P43" s="92"/>
      <c r="Q43" s="92">
        <f t="shared" si="16"/>
        <v>283200</v>
      </c>
      <c r="R43" s="103"/>
      <c r="S43" s="117">
        <f t="shared" si="1"/>
        <v>283200</v>
      </c>
      <c r="T43" s="117">
        <f t="shared" si="2"/>
        <v>-283200</v>
      </c>
    </row>
    <row r="44" spans="1:20" ht="22.5" customHeight="1" x14ac:dyDescent="0.35">
      <c r="A44" s="35">
        <v>8</v>
      </c>
      <c r="B44" s="36" t="s">
        <v>39</v>
      </c>
      <c r="C44" s="27">
        <f t="shared" ref="C44:H44" si="17">C3+C16+C20+C25+C26+C33+C36</f>
        <v>557376.77</v>
      </c>
      <c r="D44" s="27">
        <f t="shared" si="17"/>
        <v>686451.88</v>
      </c>
      <c r="E44" s="27">
        <f t="shared" si="17"/>
        <v>736471.29999999993</v>
      </c>
      <c r="F44" s="27">
        <f t="shared" si="17"/>
        <v>681225.06</v>
      </c>
      <c r="G44" s="27">
        <f t="shared" si="17"/>
        <v>637506.44999999995</v>
      </c>
      <c r="H44" s="27">
        <f t="shared" si="17"/>
        <v>540442.67999999993</v>
      </c>
      <c r="I44" s="38">
        <f t="shared" ref="I44:N44" si="18">I3+I16+I20+I25+I26+I33+I36</f>
        <v>593583.67999999993</v>
      </c>
      <c r="J44" s="27">
        <f t="shared" si="18"/>
        <v>871154.34</v>
      </c>
      <c r="K44" s="27">
        <f t="shared" si="18"/>
        <v>688153.13</v>
      </c>
      <c r="L44" s="38">
        <f t="shared" si="18"/>
        <v>758916.73</v>
      </c>
      <c r="M44" s="27">
        <f t="shared" si="18"/>
        <v>908732.92999999993</v>
      </c>
      <c r="N44" s="27">
        <f t="shared" si="18"/>
        <v>419374.67</v>
      </c>
      <c r="O44" s="94">
        <f>C44+D44+E44+F44+G44+H44+I44+J44+K44+L44+M44+N44</f>
        <v>8079389.6199999992</v>
      </c>
      <c r="P44" s="94">
        <f>P3+P16+P20+P25+P26+P33+P36</f>
        <v>6624000</v>
      </c>
      <c r="Q44" s="94">
        <f>Q3+Q16+Q20+Q25+Q26+Q33+Q36</f>
        <v>1455389.62</v>
      </c>
      <c r="R44" s="105">
        <f>R3+R16+R20+R25+R26+R36+R33</f>
        <v>7948800</v>
      </c>
      <c r="S44" s="102">
        <f t="shared" si="1"/>
        <v>8079389.6199999992</v>
      </c>
      <c r="T44" s="102">
        <f t="shared" si="2"/>
        <v>-130589.61999999918</v>
      </c>
    </row>
    <row r="45" spans="1:20" ht="15" customHeight="1" x14ac:dyDescent="0.35">
      <c r="A45" s="6"/>
      <c r="B45" s="29"/>
      <c r="C45" s="22"/>
      <c r="D45" s="22"/>
      <c r="E45" s="22"/>
      <c r="F45" s="22"/>
      <c r="G45" s="22"/>
      <c r="H45" s="22"/>
      <c r="I45" s="58"/>
      <c r="J45" s="22"/>
      <c r="K45" s="22"/>
      <c r="L45" s="58"/>
      <c r="M45" s="24"/>
      <c r="N45" s="22"/>
      <c r="O45" s="95"/>
      <c r="P45" s="95"/>
      <c r="Q45" s="95"/>
      <c r="R45" s="106"/>
      <c r="S45" s="106"/>
      <c r="T45" s="106"/>
    </row>
    <row r="46" spans="1:20" ht="17.25" customHeight="1" x14ac:dyDescent="0.35">
      <c r="A46" s="7"/>
      <c r="B46" s="30"/>
      <c r="C46" s="20"/>
      <c r="D46" s="20"/>
      <c r="E46" s="16"/>
      <c r="F46" s="16"/>
      <c r="G46" s="16"/>
      <c r="H46" s="16"/>
      <c r="I46" s="53"/>
      <c r="J46" s="12"/>
      <c r="K46" s="12"/>
      <c r="L46" s="53"/>
      <c r="M46" s="10"/>
      <c r="N46" s="13"/>
      <c r="O46" s="96"/>
      <c r="P46" s="96"/>
      <c r="Q46" s="96"/>
      <c r="R46" s="107"/>
      <c r="S46" s="107"/>
      <c r="T46" s="107"/>
    </row>
    <row r="47" spans="1:20" ht="15.75" customHeight="1" x14ac:dyDescent="0.35">
      <c r="A47" s="7"/>
      <c r="B47" s="30"/>
      <c r="C47" s="20"/>
      <c r="D47" s="20"/>
      <c r="E47" s="16"/>
      <c r="F47" s="17"/>
      <c r="G47" s="16"/>
      <c r="H47" s="20"/>
      <c r="I47" s="57"/>
      <c r="J47" s="12"/>
      <c r="K47" s="12"/>
      <c r="L47" s="53"/>
      <c r="M47" s="10"/>
      <c r="N47" s="13"/>
      <c r="O47" s="96"/>
      <c r="P47" s="96"/>
      <c r="Q47" s="96"/>
      <c r="R47" s="107"/>
      <c r="S47" s="107"/>
      <c r="T47" s="107"/>
    </row>
    <row r="48" spans="1:20" ht="15.5" x14ac:dyDescent="0.35">
      <c r="A48" s="7"/>
      <c r="B48" s="8"/>
      <c r="C48" s="20"/>
      <c r="D48" s="11"/>
      <c r="E48" s="16"/>
      <c r="F48" s="17"/>
      <c r="G48" s="16"/>
      <c r="H48" s="17"/>
      <c r="I48" s="57"/>
      <c r="J48" s="9"/>
      <c r="K48" s="9"/>
      <c r="L48" s="53"/>
      <c r="M48" s="10"/>
      <c r="N48" s="13"/>
      <c r="O48" s="96"/>
      <c r="P48" s="96"/>
      <c r="Q48" s="96"/>
      <c r="R48" s="107"/>
      <c r="S48" s="107"/>
      <c r="T48" s="107"/>
    </row>
    <row r="49" spans="1:79" s="42" customFormat="1" ht="15.5" x14ac:dyDescent="0.35">
      <c r="A49" s="31">
        <v>9</v>
      </c>
      <c r="B49" s="28" t="s">
        <v>38</v>
      </c>
      <c r="C49" s="27">
        <v>0</v>
      </c>
      <c r="D49" s="27">
        <v>10518.75</v>
      </c>
      <c r="E49" s="27">
        <v>0</v>
      </c>
      <c r="F49" s="27">
        <f>F47</f>
        <v>0</v>
      </c>
      <c r="G49" s="27">
        <f>G47</f>
        <v>0</v>
      </c>
      <c r="H49" s="27">
        <v>22000</v>
      </c>
      <c r="I49" s="38">
        <f>I3+I16+I20+I25+I26+I33+I36</f>
        <v>593583.67999999993</v>
      </c>
      <c r="J49" s="27">
        <v>115000</v>
      </c>
      <c r="K49" s="27">
        <f>K50+K51</f>
        <v>9044.5400000000009</v>
      </c>
      <c r="L49" s="38">
        <f>L50</f>
        <v>24830.06</v>
      </c>
      <c r="M49" s="38">
        <f>M50+M51</f>
        <v>2908</v>
      </c>
      <c r="N49" s="27">
        <v>0</v>
      </c>
      <c r="O49" s="115">
        <f>C49+D49+E49+F49+G49+H49+I49+J49+K49+L49+M49+N49</f>
        <v>777885.03</v>
      </c>
      <c r="P49" s="95"/>
      <c r="Q49" s="95"/>
      <c r="R49" s="106"/>
      <c r="S49" s="106"/>
      <c r="T49" s="106"/>
    </row>
    <row r="50" spans="1:79" ht="15.5" x14ac:dyDescent="0.35">
      <c r="A50" s="78" t="s">
        <v>56</v>
      </c>
      <c r="B50" s="37"/>
      <c r="C50" s="25"/>
      <c r="D50" s="25"/>
      <c r="E50" s="25"/>
      <c r="F50" s="25"/>
      <c r="G50" s="25"/>
      <c r="H50" s="25"/>
      <c r="I50" s="58"/>
      <c r="J50" s="22"/>
      <c r="K50" s="12">
        <v>3044.54</v>
      </c>
      <c r="L50" s="53">
        <v>24830.06</v>
      </c>
      <c r="M50" s="10">
        <v>2908</v>
      </c>
      <c r="N50" s="22"/>
      <c r="O50" s="115"/>
      <c r="P50" s="95"/>
      <c r="Q50" s="95"/>
      <c r="R50" s="106"/>
      <c r="S50" s="106"/>
      <c r="T50" s="106"/>
    </row>
    <row r="51" spans="1:79" s="42" customFormat="1" ht="15.5" x14ac:dyDescent="0.35">
      <c r="A51" s="78" t="s">
        <v>57</v>
      </c>
      <c r="B51" s="37"/>
      <c r="C51" s="25"/>
      <c r="D51" s="25"/>
      <c r="E51" s="25"/>
      <c r="F51" s="25"/>
      <c r="G51" s="25"/>
      <c r="H51" s="25"/>
      <c r="I51" s="41"/>
      <c r="J51" s="25"/>
      <c r="K51" s="16">
        <v>6000</v>
      </c>
      <c r="L51" s="41"/>
      <c r="M51" s="41"/>
      <c r="N51" s="25"/>
      <c r="O51" s="115"/>
      <c r="P51" s="95"/>
      <c r="Q51" s="95"/>
      <c r="R51" s="106"/>
      <c r="S51" s="106"/>
      <c r="T51" s="106"/>
    </row>
    <row r="52" spans="1:79" ht="24" customHeight="1" x14ac:dyDescent="0.35">
      <c r="A52" s="82">
        <v>10</v>
      </c>
      <c r="B52" s="83" t="s">
        <v>17</v>
      </c>
      <c r="C52" s="84">
        <v>774863.1</v>
      </c>
      <c r="D52" s="84">
        <v>969622.5</v>
      </c>
      <c r="E52" s="85">
        <v>833498.38</v>
      </c>
      <c r="F52" s="85">
        <v>436101.16</v>
      </c>
      <c r="G52" s="85">
        <v>625947.30000000005</v>
      </c>
      <c r="H52" s="85">
        <v>526806.72</v>
      </c>
      <c r="I52" s="86">
        <v>529962.9</v>
      </c>
      <c r="J52" s="85">
        <v>512520.6</v>
      </c>
      <c r="K52" s="85">
        <v>558068.80000000005</v>
      </c>
      <c r="L52" s="86">
        <v>782454.9</v>
      </c>
      <c r="M52" s="86">
        <v>667561.5</v>
      </c>
      <c r="N52" s="85">
        <v>581616.69999999995</v>
      </c>
      <c r="O52" s="97"/>
      <c r="P52" s="97"/>
      <c r="Q52" s="97"/>
      <c r="R52" s="108"/>
      <c r="S52" s="108"/>
      <c r="T52" s="108"/>
      <c r="W52" s="49"/>
      <c r="X52" s="49"/>
    </row>
    <row r="53" spans="1:79" ht="24" customHeight="1" x14ac:dyDescent="0.35">
      <c r="A53" s="82"/>
      <c r="B53" s="87" t="s">
        <v>59</v>
      </c>
      <c r="C53" s="84">
        <v>608694.64</v>
      </c>
      <c r="D53" s="88">
        <v>628185.64</v>
      </c>
      <c r="E53" s="85">
        <v>607092.62</v>
      </c>
      <c r="F53" s="85">
        <v>541923.48</v>
      </c>
      <c r="G53" s="85">
        <v>540432.22</v>
      </c>
      <c r="H53" s="26">
        <v>837158.06</v>
      </c>
      <c r="I53" s="86">
        <v>383257.62</v>
      </c>
      <c r="J53" s="85">
        <v>370923.45</v>
      </c>
      <c r="K53" s="85">
        <v>371551.12</v>
      </c>
      <c r="L53" s="86">
        <v>378528.1</v>
      </c>
      <c r="M53" s="86">
        <v>519489.71</v>
      </c>
      <c r="N53" s="85">
        <v>447499.4</v>
      </c>
      <c r="O53" s="97"/>
      <c r="P53" s="97"/>
      <c r="Q53" s="97"/>
      <c r="R53" s="108"/>
      <c r="S53" s="108"/>
      <c r="T53" s="108"/>
      <c r="W53" s="49"/>
      <c r="X53" s="49"/>
    </row>
    <row r="54" spans="1:79" ht="24" customHeight="1" x14ac:dyDescent="0.35">
      <c r="A54" s="43"/>
      <c r="B54" s="80" t="s">
        <v>40</v>
      </c>
      <c r="C54" s="122">
        <f>C52-(C53+C20)</f>
        <v>97231.989999999991</v>
      </c>
      <c r="D54" s="122">
        <f t="shared" ref="D54:L54" si="19">D52-(D53+D20)</f>
        <v>264261.63</v>
      </c>
      <c r="E54" s="122">
        <f t="shared" si="19"/>
        <v>157851.10999999999</v>
      </c>
      <c r="F54" s="122">
        <f t="shared" si="19"/>
        <v>-154313.11000000004</v>
      </c>
      <c r="G54" s="122">
        <f t="shared" si="19"/>
        <v>30252.290000000037</v>
      </c>
      <c r="H54" s="122">
        <f t="shared" si="19"/>
        <v>-359463.09000000008</v>
      </c>
      <c r="I54" s="122">
        <f t="shared" si="19"/>
        <v>94263.020000000019</v>
      </c>
      <c r="J54" s="122">
        <f t="shared" si="19"/>
        <v>86188.439999999944</v>
      </c>
      <c r="K54" s="122">
        <f t="shared" si="19"/>
        <v>126176.01000000007</v>
      </c>
      <c r="L54" s="122">
        <f t="shared" si="19"/>
        <v>331277.66000000003</v>
      </c>
      <c r="M54" s="123">
        <f>M52-M53</f>
        <v>148071.78999999998</v>
      </c>
      <c r="N54" s="124">
        <f>N52-N53</f>
        <v>134117.29999999993</v>
      </c>
      <c r="O54" s="97"/>
      <c r="P54" s="97"/>
      <c r="Q54" s="97"/>
      <c r="R54" s="108"/>
      <c r="S54" s="108"/>
      <c r="T54" s="108"/>
      <c r="W54" s="49"/>
      <c r="X54" s="49"/>
    </row>
    <row r="55" spans="1:79" ht="24" customHeight="1" x14ac:dyDescent="0.35">
      <c r="A55" s="43"/>
      <c r="B55" s="44"/>
      <c r="C55" s="45"/>
      <c r="D55" s="46"/>
      <c r="E55" s="47"/>
      <c r="F55" s="47"/>
      <c r="G55" s="47"/>
      <c r="H55" s="47"/>
      <c r="I55" s="48"/>
      <c r="J55" s="47"/>
      <c r="K55" s="47"/>
      <c r="L55" s="48"/>
      <c r="M55" s="48"/>
      <c r="N55" s="47"/>
      <c r="O55" s="97"/>
      <c r="P55" s="97"/>
      <c r="Q55" s="97"/>
      <c r="R55" s="108"/>
      <c r="S55" s="108"/>
      <c r="T55" s="108"/>
      <c r="W55" s="49"/>
      <c r="X55" s="49"/>
    </row>
    <row r="56" spans="1:79" s="5" customFormat="1" ht="15.5" x14ac:dyDescent="0.35">
      <c r="A56" s="79">
        <v>11</v>
      </c>
      <c r="B56" s="59" t="s">
        <v>58</v>
      </c>
      <c r="C56" s="9"/>
      <c r="D56" s="60"/>
      <c r="E56" s="60"/>
      <c r="F56" s="60"/>
      <c r="G56" s="60"/>
      <c r="H56" s="60"/>
      <c r="I56" s="62"/>
      <c r="J56" s="60"/>
      <c r="K56" s="60"/>
      <c r="L56" s="67"/>
      <c r="M56" s="68"/>
      <c r="N56" s="69"/>
      <c r="O56" s="98"/>
      <c r="P56" s="98"/>
      <c r="Q56" s="98"/>
      <c r="R56" s="109"/>
      <c r="S56" s="109"/>
      <c r="T56" s="10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49"/>
      <c r="CA56" s="49"/>
    </row>
    <row r="57" spans="1:79" s="5" customFormat="1" ht="15.5" x14ac:dyDescent="0.35">
      <c r="B57" s="23" t="s">
        <v>30</v>
      </c>
      <c r="C57" s="12">
        <v>662400</v>
      </c>
      <c r="D57" s="63">
        <v>662400</v>
      </c>
      <c r="E57" s="63">
        <v>662400</v>
      </c>
      <c r="F57" s="63">
        <v>662400</v>
      </c>
      <c r="G57" s="63">
        <v>662400</v>
      </c>
      <c r="H57" s="63">
        <v>662400</v>
      </c>
      <c r="I57" s="64">
        <v>662400</v>
      </c>
      <c r="J57" s="63">
        <v>662400</v>
      </c>
      <c r="K57" s="63">
        <v>662400</v>
      </c>
      <c r="L57" s="64">
        <v>662400</v>
      </c>
      <c r="M57" s="63">
        <v>662400</v>
      </c>
      <c r="N57" s="63">
        <v>662400</v>
      </c>
      <c r="O57" s="115">
        <f>C57+D57+E57+F57+G57+H57+I57+J57+K57+L57+M57+N57</f>
        <v>7948800</v>
      </c>
      <c r="P57" s="99"/>
      <c r="Q57" s="99"/>
      <c r="R57" s="110"/>
      <c r="S57" s="110"/>
      <c r="T57" s="110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</row>
    <row r="58" spans="1:79" s="5" customFormat="1" ht="15.5" x14ac:dyDescent="0.35">
      <c r="B58" s="23" t="s">
        <v>31</v>
      </c>
      <c r="C58" s="12">
        <v>497956</v>
      </c>
      <c r="D58" s="63">
        <v>558410</v>
      </c>
      <c r="E58" s="63">
        <v>677260.99</v>
      </c>
      <c r="F58" s="63">
        <v>678940</v>
      </c>
      <c r="G58" s="63">
        <v>707000</v>
      </c>
      <c r="H58" s="63">
        <v>577000</v>
      </c>
      <c r="I58" s="126">
        <v>769153.47</v>
      </c>
      <c r="J58" s="63">
        <v>851480.75</v>
      </c>
      <c r="K58" s="63">
        <v>933600</v>
      </c>
      <c r="L58" s="64">
        <v>743132.3</v>
      </c>
      <c r="M58" s="63">
        <v>656907</v>
      </c>
      <c r="N58" s="63">
        <v>815435.39</v>
      </c>
      <c r="O58" s="99">
        <f>C58+D58+E58+F58+G58+H58+I58+J58+K58+L58+M58+N58</f>
        <v>8466275.9000000004</v>
      </c>
      <c r="P58" s="99"/>
      <c r="Q58" s="99"/>
      <c r="R58" s="110"/>
      <c r="S58" s="110"/>
      <c r="T58" s="110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</row>
    <row r="59" spans="1:79" s="5" customFormat="1" ht="15.5" x14ac:dyDescent="0.35">
      <c r="B59" s="60"/>
      <c r="C59" s="66">
        <f t="shared" ref="C59:H59" si="20">C57-C58</f>
        <v>164444</v>
      </c>
      <c r="D59" s="65">
        <f t="shared" si="20"/>
        <v>103990</v>
      </c>
      <c r="E59" s="70">
        <f t="shared" si="20"/>
        <v>-14860.989999999991</v>
      </c>
      <c r="F59" s="70">
        <f t="shared" si="20"/>
        <v>-16540</v>
      </c>
      <c r="G59" s="70">
        <f t="shared" si="20"/>
        <v>-44600</v>
      </c>
      <c r="H59" s="65">
        <f t="shared" si="20"/>
        <v>85400</v>
      </c>
      <c r="I59" s="75">
        <v>78147</v>
      </c>
      <c r="J59" s="76">
        <v>96200</v>
      </c>
      <c r="K59" s="114">
        <f>K57-K58</f>
        <v>-271200</v>
      </c>
      <c r="L59" s="116">
        <f>L57-L58</f>
        <v>-80732.300000000047</v>
      </c>
      <c r="M59" s="65">
        <f>M57-M58</f>
        <v>5493</v>
      </c>
      <c r="N59" s="125">
        <f>N57-N58</f>
        <v>-153035.39000000001</v>
      </c>
      <c r="O59" s="65">
        <f>O57-O58</f>
        <v>-517475.90000000037</v>
      </c>
      <c r="P59" s="99"/>
      <c r="Q59" s="99"/>
      <c r="R59" s="110"/>
      <c r="S59" s="110"/>
      <c r="T59" s="110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</row>
    <row r="60" spans="1:79" s="5" customFormat="1" ht="15.5" x14ac:dyDescent="0.35">
      <c r="B60" s="60"/>
      <c r="C60" s="60"/>
      <c r="D60" s="60"/>
      <c r="E60" s="60"/>
      <c r="F60" s="60"/>
      <c r="G60" s="60"/>
      <c r="H60" s="61"/>
      <c r="I60" s="62"/>
      <c r="J60" s="63"/>
      <c r="K60" s="60"/>
      <c r="L60" s="64"/>
      <c r="M60" s="63"/>
      <c r="N60" s="63"/>
      <c r="O60" s="100"/>
      <c r="P60" s="100"/>
      <c r="Q60" s="100"/>
      <c r="R60" s="111"/>
      <c r="S60" s="111"/>
      <c r="T60" s="111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49"/>
      <c r="CA60" s="49"/>
    </row>
    <row r="61" spans="1:79" s="5" customFormat="1" ht="15.5" x14ac:dyDescent="0.35">
      <c r="B61" s="60"/>
      <c r="C61" s="60"/>
      <c r="D61" s="60"/>
      <c r="E61" s="60"/>
      <c r="F61" s="60"/>
      <c r="G61" s="60"/>
      <c r="H61" s="61"/>
      <c r="I61" s="62"/>
      <c r="J61" s="60"/>
      <c r="K61" s="60"/>
      <c r="L61" s="64"/>
      <c r="M61" s="63"/>
      <c r="N61" s="63"/>
      <c r="O61" s="100"/>
      <c r="P61" s="100"/>
      <c r="Q61" s="100"/>
      <c r="R61" s="111"/>
      <c r="S61" s="111"/>
      <c r="T61" s="111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49"/>
      <c r="CA61" s="49"/>
    </row>
    <row r="62" spans="1:79" s="5" customFormat="1" ht="15.5" x14ac:dyDescent="0.35">
      <c r="B62" s="23"/>
      <c r="C62" s="20"/>
      <c r="D62" s="118"/>
      <c r="E62" s="118"/>
      <c r="F62" s="118"/>
      <c r="G62" s="118"/>
      <c r="H62" s="119"/>
      <c r="I62" s="19"/>
      <c r="J62" s="16"/>
      <c r="K62" s="120"/>
      <c r="L62" s="121"/>
      <c r="M62" s="63"/>
      <c r="N62" s="63"/>
      <c r="O62" s="100"/>
      <c r="P62" s="100"/>
      <c r="Q62" s="100"/>
      <c r="R62" s="111"/>
      <c r="S62" s="111"/>
      <c r="T62" s="111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49"/>
      <c r="CA62" s="49"/>
    </row>
    <row r="63" spans="1:79" x14ac:dyDescent="0.35">
      <c r="C63" s="49"/>
      <c r="D63" s="49"/>
      <c r="P63" s="49"/>
      <c r="Q63" s="49"/>
      <c r="T63" s="49"/>
      <c r="W63" s="49"/>
      <c r="X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</row>
    <row r="64" spans="1:79" x14ac:dyDescent="0.35">
      <c r="C64" s="77"/>
      <c r="D64" s="77"/>
    </row>
    <row r="65" spans="3:12" x14ac:dyDescent="0.35">
      <c r="C65" s="81"/>
      <c r="D65" s="81"/>
      <c r="E65" s="81"/>
      <c r="F65" s="81"/>
      <c r="G65" s="81"/>
      <c r="H65" s="81"/>
      <c r="I65" s="81"/>
      <c r="J65" s="81"/>
      <c r="K65" s="81"/>
      <c r="L65" s="81"/>
    </row>
  </sheetData>
  <mergeCells count="1">
    <mergeCell ref="B1:M1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Игорь</cp:lastModifiedBy>
  <cp:lastPrinted>2020-11-07T08:18:27Z</cp:lastPrinted>
  <dcterms:created xsi:type="dcterms:W3CDTF">2020-01-14T13:03:42Z</dcterms:created>
  <dcterms:modified xsi:type="dcterms:W3CDTF">2022-02-17T20:08:56Z</dcterms:modified>
</cp:coreProperties>
</file>